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2.xml.rels" ContentType="application/vnd.openxmlformats-package.relationships+xml"/>
  <Override PartName="/xl/worksheets/sheet29.xml" ContentType="application/vnd.openxmlformats-officedocument.spreadsheetml.worksheet+xml"/>
  <Override PartName="/xl/worksheets/sheet4.xml" ContentType="application/vnd.openxmlformats-officedocument.spreadsheetml.worksheet+xml"/>
  <Override PartName="/xl/worksheets/sheet12.xml" ContentType="application/vnd.openxmlformats-officedocument.spreadsheetml.worksheet+xml"/>
  <Override PartName="/xl/worksheets/sheet7.xml" ContentType="application/vnd.openxmlformats-officedocument.spreadsheetml.worksheet+xml"/>
  <Override PartName="/xl/worksheets/sheet13.xml" ContentType="application/vnd.openxmlformats-officedocument.spreadsheetml.worksheet+xml"/>
  <Override PartName="/xl/worksheets/sheet8.xml" ContentType="application/vnd.openxmlformats-officedocument.spreadsheetml.worksheet+xml"/>
  <Override PartName="/xl/worksheets/sheet30.xml" ContentType="application/vnd.openxmlformats-officedocument.spreadsheetml.worksheet+xml"/>
  <Override PartName="/xl/worksheets/sheet28.xml" ContentType="application/vnd.openxmlformats-officedocument.spreadsheetml.worksheet+xml"/>
  <Override PartName="/xl/worksheets/sheet3.xml" ContentType="application/vnd.openxmlformats-officedocument.spreadsheetml.worksheet+xml"/>
  <Override PartName="/xl/worksheets/sheet14.xml" ContentType="application/vnd.openxmlformats-officedocument.spreadsheetml.worksheet+xml"/>
  <Override PartName="/xl/worksheets/sheet9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worksheets/sheet6.xml" ContentType="application/vnd.openxmlformats-officedocument.spreadsheetml.worksheet+xml"/>
  <Override PartName="/xl/worksheets/sheet11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.xml" ContentType="application/vnd.openxmlformats-officedocument.spreadsheetml.worksheet+xml"/>
  <Override PartName="/xl/worksheets/sheet18.xml" ContentType="application/vnd.openxmlformats-officedocument.spreadsheetml.worksheet+xml"/>
  <Override PartName="/xl/worksheets/sheet20.xml" ContentType="application/vnd.openxmlformats-officedocument.spreadsheetml.worksheet+xml"/>
  <Override PartName="/xl/worksheets/sheet2.xml" ContentType="application/vnd.openxmlformats-officedocument.spreadsheetml.worksheet+xml"/>
  <Override PartName="/xl/worksheets/sheet19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HOW TO USE" sheetId="1" state="visible" r:id="rId3"/>
    <sheet name="CEO SUMMARY" sheetId="2" state="visible" r:id="rId4"/>
    <sheet name="CO COMPS SOURCE" sheetId="3" state="visible" r:id="rId5"/>
    <sheet name="KE 28521" sheetId="4" state="visible" r:id="rId6"/>
    <sheet name="KE 1968" sheetId="5" state="visible" r:id="rId7"/>
    <sheet name="JD 28512" sheetId="6" state="visible" r:id="rId8"/>
    <sheet name="KE 28518" sheetId="7" state="visible" r:id="rId9"/>
    <sheet name="KE 2828" sheetId="8" state="visible" r:id="rId10"/>
    <sheet name="KE 3186" sheetId="9" state="visible" r:id="rId11"/>
    <sheet name="KE 33838" sheetId="10" state="visible" r:id="rId12"/>
    <sheet name="KE 33866" sheetId="11" state="visible" r:id="rId13"/>
    <sheet name="JD 18776" sheetId="12" state="visible" r:id="rId14"/>
    <sheet name="KE 28526" sheetId="13" state="visible" r:id="rId15"/>
    <sheet name="JD 33630" sheetId="14" state="visible" r:id="rId16"/>
    <sheet name="JD 33629" sheetId="15" state="visible" r:id="rId17"/>
    <sheet name="KE 31991" sheetId="16" state="visible" r:id="rId18"/>
    <sheet name="KE 31994" sheetId="17" state="visible" r:id="rId19"/>
    <sheet name="KE 32700" sheetId="18" state="visible" r:id="rId20"/>
    <sheet name="KE 33867" sheetId="19" state="visible" r:id="rId21"/>
    <sheet name="KE 33851" sheetId="20" state="visible" r:id="rId22"/>
    <sheet name="KE 33847" sheetId="21" state="visible" r:id="rId23"/>
    <sheet name="KE 33850" sheetId="22" state="visible" r:id="rId24"/>
    <sheet name="KE 33852" sheetId="23" state="visible" r:id="rId25"/>
    <sheet name="KE 35881" sheetId="24" state="visible" r:id="rId26"/>
    <sheet name="JD 3052" sheetId="25" state="visible" r:id="rId27"/>
    <sheet name="KE 31983" sheetId="26" state="visible" r:id="rId28"/>
    <sheet name="KE 31987" sheetId="27" state="visible" r:id="rId29"/>
    <sheet name="KE 31989" sheetId="28" state="visible" r:id="rId30"/>
    <sheet name="KE 31992" sheetId="29" state="visible" r:id="rId31"/>
    <sheet name="KE 31996" sheetId="30" state="visible" r:id="rId3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<sst xmlns="http://schemas.openxmlformats.org/spreadsheetml/2006/main" count="4476" uniqueCount="1018">
  <si>
    <t xml:space="preserve">RENEWAL DEAL WORKSHEETS — ALL TIER 1-2 LOCATIONS (v24, 8/5/26). Tabs prefixed KE / JD by responsibility.</t>
  </si>
  <si>
    <t xml:space="preserve">Each tab: (1) WHAT THE LEASE SAYS — the actual schedule per J.D. abstract, escalation mechanism quoted as written; (2) COMP QUALIFICATION — every comp with deal date, type, size, same-user flag, and STRONG/MODERATE/WEAK call; averages are reference only, never an FMV conclusion; (3) RENT SCENARIO TESTER — plug any rent, see impact vs. current, vs. lease-path baseline (10-yr), occupancy %, and position vs. comp reference.</t>
  </si>
  <si>
    <t xml:space="preserve">Yellow = to supply (Finance rents; J.D. schedule gaps; your test rents). TEMP rents from abstracts are so labeled — Finance is the source of truth. Aggregated rows marked AVG approximate multi-step annual schedules; exact year-by-year rates are in the abstracts.</t>
  </si>
  <si>
    <t xml:space="preserve">Comps pending: NM (1968, 32700), TX (35881), Milwaukee (31994), Boulder 28th St (33866 — re-requested), Federal Blvd (18776), Greenwood Village (33850), plus WI market comps for the five new WI tabs.</t>
  </si>
  <si>
    <t xml:space="preserve">NEW IN v13 — FIVE WISCONSIN TABS ADDED (KE 31983, 31987, 31989, 31992, 31996): the actionable WI stores from the 8/4-8/5 analysis — occupancy hard stops (31983 9.7%, 31987 8.7%), FA-alignment hard stops (31989 no options past 11/30/30 vs FA 2038; 31992 options short ~9 mo; 31987 short 1 day), and the nearest Mid-Term triggers (31996 1/13/27; 31983+31992 6/30/27). Data basis: J.D. dates 8/4 + ALBOR FY25 rent paid as TEMP current rent — schedules, escalations, landlords, and WI comps all pending (yellow). 31991/31994 tabs unchanged.</t>
  </si>
  <si>
    <t xml:space="preserve">% RENT MODULE — NOW ON EVERY TAB (v16): rate defaults to 0 where the lease has no % rent clause; enter a rate + breakpoint and all math activates. Scenario tester adds a plug-in deal TERM input (blank = 10-yr window) computing total rent over the full term, base + % rent, sales +2%/yr. Original module detail: Section 1b captures the clause as written (rate, STATED vs. NATURAL breakpoint = annual base ÷ rate) and computes yr-1 % rent, all-in rent, all-in occupancy. Section 3 scenarios add per-scenario % rent RATE and BREAKPOINT overrides (rate 0 = % rent removed) plus: breakpoint used, % rent yr 1, all-in yr 1, all-in occupancy, 10-yr % rent (sales +2%/yr), 10-yr ALL-IN total.</t>
  </si>
  <si>
    <t xml:space="preserve">NEW IN v9 — PLAYBOOK COMPLIANCE (all 22 tabs, per ARN Lease Negotiation Playbook JD 6-26-26, confirmed current 8/4/26): every scenario self-checks 4 rows — effective escalation per 5-yr, ladder verdict (in-house authority ends at 8%/5-yr per Rob 8/5/26; above = CEO sign-off before responding), occupancy % at YEAR 10 (all-in, sales +2%/yr), and occupancy verdict vs the 8%-of-sales HARD STOP (worst of yr 1 and yr 10; Rob-set 8/5/26 — 8% governs over the playbook written 10% ceiling). Static red flags mark leases containing FMV or CPI provisions (hard stop regardless of cap — playbook position: remove in favor of fixed steps): 28521 FMV, 33866 FMV, 28512 CPI, 3052 CPI. Every tab carries the franchise-alignment reminder (lease must never run short of FA expiration).</t>
  </si>
  <si>
    <t xml:space="preserve">NEW IN v8 — 1968 LIVE NEGOTIATION LOADED (from 8/4 negotiation session): current lease = $48,047 + 5% &gt; $902,482 stated bp ($135,774 all-in, 5.1% occ). Four scenarios pre-loaded on KE 1968: LL COUNTER ($150K, 3%/yr, 5% &gt; $3M), TENANT R2 REC ($150K, 8%/5-yr, no % rent), TENANT R1 ($135K flat, no % rent), STATUS QUO. PLAYBOOK FLAG: LL 3%/yr ≈ 15.9%/5-yr exceeds the 10%/5-yr in-house ceiling — CEO sign-off item for 8/20. 3052: 6% on extension terms per abstract (TEMP); breakpoint form unconfirmed.</t>
  </si>
  <si>
    <t xml:space="preserve">CEO SUMMARY — ONE ROW PER RENEWAL (each links to its detail tab). In-house authority: escalations to 8%/5-yr; occupancy hard stop 8%; 7.5% highlight. NOTHING on this page is approved — asks only.</t>
  </si>
  <si>
    <t xml:space="preserve">Tab</t>
  </si>
  <si>
    <t xml:space="preserve">THE ASK</t>
  </si>
  <si>
    <t xml:space="preserve">DEAL STORY / DEFAULT PROPOSAL</t>
  </si>
  <si>
    <t xml:space="preserve">CEO SIGN-OFF NEEDED?</t>
  </si>
  <si>
    <t xml:space="preserve">OCCUPANCY TODAY</t>
  </si>
  <si>
    <t xml:space="preserve">KE 28521</t>
  </si>
  <si>
    <t xml:space="preserve">28521 — FMV DEAL (go-back 8/20)</t>
  </si>
  <si>
    <t xml:space="preserve">DEFAULT PROPOSAL (Scenario A): start $93,011/yr, +2% per 5-yr term, 20 yrs -&gt; total $1,916,774 (avg $95,839/yr)</t>
  </si>
  <si>
    <t xml:space="preserve">No CEO sign-off items identified at current terms (escalations within 8%/5-yr authority)</t>
  </si>
  <si>
    <t xml:space="preserve">OCCUPANCY TODAY: 5.2% of sales (base 4.3% + NNN/% rent 0.9 pts) — within threshold</t>
  </si>
  <si>
    <t xml:space="preserve">KE 1968</t>
  </si>
  <si>
    <t xml:space="preserve">1968 Albuquerque — ARN R2 counter FOR CONSIDERATION: $140K, 2%/yr, 5% &gt; $3.2M breakpoint, 10-yr + 2 x 5 (NOT approved)</t>
  </si>
  <si>
    <t xml:space="preserve">DEAL STORY: ARN R1 asked $135K with 10% escalations per 5-yr term, NO % rent, on a 5-yr + 2x5 structure. LL countered $150K + 3%/yr + 5% rent over $3M — and moved the term to 10-yr + 2x5 (20 yrs; good for FA alignment). ARN R2 accepts the LL 20-yr structure and holds near the R1 economics: $140K start (R1 price + $5K) with 2%/yr — which compounds to ~10.4%/5-yr, THE SAME ESCALATION CADENCE WE OFFERED IN R1, just annualized. The LL reaches his $150K in year 4 and averages $153K over the initial 10-yr term. The $3.2M breakpoint defers % rent ~10 YEARS (sales cross it year ~11 at 2% growth; ~$168K total in yrs 11-20, vs ~$283K at his $3M bp). 20-yr cost $3.57M vs LL structure $4.31M = $744K UNDER.</t>
  </si>
  <si>
    <t xml:space="preserve">RECOMMENDATION — COUNTER WITH THE STEPPED VERSION (Scenario A): identical headline terms ($140K start, ~10% per 5-yr cadence, 5% &gt; $3.2M bp, 10-yr + 2x5) but escalations as 10% STEPS at each 5-yr term instead of 2% annually. THE MATH: same rate at each period boundary — the difference is annual compounding INSIDE each period. Stepped 20-yr base $3,248,700 vs annual $3,401,632; % rent identical $167,660 -&gt; totals $3,416,360 vs $3,569,292 = SAVES $152,932 for free, and lands $897,414 UNDER the LL structure. Give-up vs holding R1 at 20 yrs shrinks to $283,685 ($116,025 from the $140K vs $135K start + $167,660 late-years % rent R1 had removed). STILL NEEDS CEO SIGN-OFF: 10%/5-yr exceeds the 8%/5-yr in-house authority — but it is the cadence ARN itself asked for in R1.</t>
  </si>
  <si>
    <t xml:space="preserve">OCCUPANCY TODAY: 5.6% of sales (base 1.8% + NNN/% rent 3.8 pts). All scenarios stay under the 7.5%/8% thresholds.</t>
  </si>
  <si>
    <t xml:space="preserve">JD 28512</t>
  </si>
  <si>
    <t xml:space="preserve">28512 — Pending FA; then renewal</t>
  </si>
  <si>
    <t xml:space="preserve">DEFAULT PROPOSAL (Scenario A): start $121,217/yr, +2% per 5-yr term, 20 yrs -&gt; total $2,498,045 (avg $124,902/yr)</t>
  </si>
  <si>
    <t xml:space="preserve">NEEDS CEO SIGN-OFF: CPI provision in lease; occupancy at/above 8%</t>
  </si>
  <si>
    <t xml:space="preserve">OCCUPANCY TODAY: 12.9% of sales (base 9.2% + NNN/% rent 3.7 pts) — AT/ABOVE 8% HARD STOP</t>
  </si>
  <si>
    <t xml:space="preserve">KE 28518</t>
  </si>
  <si>
    <t xml:space="preserve">28518 — notice 10/1/26; schedule CORRECTED</t>
  </si>
  <si>
    <t xml:space="preserve">DEFAULT PROPOSAL (Scenario A): start $68,448/yr, +2% per 5-yr term, 20 yrs -&gt; total $1,410,579 (avg $70,529/yr)</t>
  </si>
  <si>
    <t xml:space="preserve">OCCUPANCY TODAY: 3.8% of sales (base 3.1% + NNN/% rent 0.7 pts) — within threshold</t>
  </si>
  <si>
    <t xml:space="preserve">KE 2828</t>
  </si>
  <si>
    <t xml:space="preserve">2828 — NO OPTIONS; new deal (Fred Reid)</t>
  </si>
  <si>
    <t xml:space="preserve">DEFAULT PROPOSAL (Scenario A): start $156,048/yr, +2% per 5-yr term, 20 yrs -&gt; total $3,215,843 (avg $160,792/yr)</t>
  </si>
  <si>
    <t xml:space="preserve">OCCUPANCY TODAY: 6.2% of sales (base 5.3% + NNN/% rent 0.9 pts) — within threshold</t>
  </si>
  <si>
    <t xml:space="preserve">KE 3186</t>
  </si>
  <si>
    <t xml:space="preserve">3186 — On Hold; purchase vs. options</t>
  </si>
  <si>
    <t xml:space="preserve">DEFAULT PROPOSAL (Scenario A): start $68,130/yr, +2% per 5-yr term, 20 yrs -&gt; total $1,404,026 (avg $70,201/yr)</t>
  </si>
  <si>
    <t xml:space="preserve">OCCUPANCY TODAY: 4.2% of sales (base 2.5% + NNN/% rent 1.7 pts) — within threshold</t>
  </si>
  <si>
    <t xml:space="preserve">KE 33838</t>
  </si>
  <si>
    <t xml:space="preserve">33838 — TWO leases / two LLs</t>
  </si>
  <si>
    <t xml:space="preserve">DEFAULT PROPOSAL (Scenario A): start $163,140/yr, +2% per 5-yr term, 20 yrs -&gt; total $3,361,996 (avg $168,100/yr)</t>
  </si>
  <si>
    <t xml:space="preserve">OCCUPANCY TODAY: 6.4% of sales (base 5.0% + NNN/% rent 1.4 pts) — within threshold</t>
  </si>
  <si>
    <t xml:space="preserve">KE 33866</t>
  </si>
  <si>
    <t xml:space="preserve">33866 — FMV DEAL; stipulate Option 5</t>
  </si>
  <si>
    <t xml:space="preserve">DEFAULT PROPOSAL (Scenario A): start $139,392/yr, +2% per 5-yr term, 20 yrs -&gt; total $2,872,596 (avg $143,630/yr)</t>
  </si>
  <si>
    <t xml:space="preserve">NEEDS CEO SIGN-OFF: FMV provision in lease</t>
  </si>
  <si>
    <t xml:space="preserve">OCCUPANCY TODAY: 7.2% of sales (base 5.6% + NNN/% rent 1.6 pts) — within threshold</t>
  </si>
  <si>
    <t xml:space="preserve">JD 18776</t>
  </si>
  <si>
    <t xml:space="preserve">18776 — 1 ext left; purchase/replat track</t>
  </si>
  <si>
    <t xml:space="preserve">DEFAULT PROPOSAL (Scenario A): start $62,274/yr, +2% per 5-yr term, 20 yrs -&gt; total $1,283,345 (avg $64,167/yr)</t>
  </si>
  <si>
    <t xml:space="preserve">OCCUPANCY TODAY: 4.4% of sales (base 3.1% + NNN/% rent 1.4 pts) — within threshold</t>
  </si>
  <si>
    <t xml:space="preserve">KE 28526</t>
  </si>
  <si>
    <t xml:space="preserve">28526 — RENEWED to 12/31/31</t>
  </si>
  <si>
    <t xml:space="preserve">DEFAULT PROPOSAL (Scenario A): start $83,891/yr, +2% per 5-yr term, 20 yrs -&gt; total $1,728,829 (avg $86,441/yr)</t>
  </si>
  <si>
    <t xml:space="preserve">OCCUPANCY TODAY: 4.6% of sales (base 3.7% + NNN/% rent 0.9 pts) — within threshold</t>
  </si>
  <si>
    <t xml:space="preserve">JD 33630</t>
  </si>
  <si>
    <t xml:space="preserve">33630 — J.D.-led</t>
  </si>
  <si>
    <t xml:space="preserve">DEFAULT PROPOSAL (Scenario A): start $104,957/yr, +2% per 5-yr term, 20 yrs -&gt; total $2,162,958 (avg $108,148/yr)</t>
  </si>
  <si>
    <t xml:space="preserve">OCCUPANCY TODAY: 7.8% of sales (base 5.2% + NNN/% rent 2.7 pts) — above 7.5% highlight</t>
  </si>
  <si>
    <t xml:space="preserve">JD 33629</t>
  </si>
  <si>
    <t xml:space="preserve">33629 — open item; NO ABSTRACT</t>
  </si>
  <si>
    <t xml:space="preserve">DEFAULT PROPOSAL (Scenario A): start $129,067/yr, +2% per 5-yr term, 20 yrs -&gt; total $2,659,818 (avg $132,991/yr)</t>
  </si>
  <si>
    <t xml:space="preserve">NEEDS CEO SIGN-OFF: occupancy at/above 8%</t>
  </si>
  <si>
    <t xml:space="preserve">OCCUPANCY TODAY: 11.9% of sales (base 9.9% + NNN/% rent 2.0 pts) — AT/ABOVE 8% HARD STOP</t>
  </si>
  <si>
    <t xml:space="preserve">KE 31991</t>
  </si>
  <si>
    <t xml:space="preserve">31991 — proposal w/ Rob (approval expected)</t>
  </si>
  <si>
    <t xml:space="preserve">DEFAULT PROPOSAL (Scenario A): start $55,541/yr, +2% per 5-yr term, 20 yrs -&gt; total $1,144,591 (avg $57,230/yr)</t>
  </si>
  <si>
    <t xml:space="preserve">OCCUPANCY TODAY: 3.5% of sales (base 2.2% + NNN/% rent 1.3 pts) — within threshold</t>
  </si>
  <si>
    <t xml:space="preserve">KE 31994</t>
  </si>
  <si>
    <t xml:space="preserve">31994 — SECURE; options auto-exercise</t>
  </si>
  <si>
    <t xml:space="preserve">DEFAULT PROPOSAL (Scenario A): start $79,860/yr, +2% per 5-yr term, 20 yrs -&gt; total $1,645,758 (avg $82,288/yr)</t>
  </si>
  <si>
    <t xml:space="preserve">OCCUPANCY TODAY: 4.6% of sales (base 4.6% + NNN/% rent 0.0 pts) — within threshold</t>
  </si>
  <si>
    <t xml:space="preserve">KE 32700</t>
  </si>
  <si>
    <t xml:space="preserve">32700 — auto-renews</t>
  </si>
  <si>
    <t xml:space="preserve">DEFAULT PROPOSAL (Scenario A): start $34,020/yr, +2% per 5-yr term, 20 yrs -&gt; total $701,086 (avg $35,054/yr)</t>
  </si>
  <si>
    <t xml:space="preserve">OCCUPANCY TODAY: 1.3% of sales (base 1.1% + NNN/% rent 0.2 pts) — within threshold</t>
  </si>
  <si>
    <t xml:space="preserve">KE 33867</t>
  </si>
  <si>
    <t xml:space="preserve">33867 — terminate-notice 7/28/27</t>
  </si>
  <si>
    <t xml:space="preserve">DEFAULT PROPOSAL (Scenario A): start $77,304/yr, +2% per 5-yr term, 20 yrs -&gt; total $1,593,084 (avg $79,654/yr)</t>
  </si>
  <si>
    <t xml:space="preserve">OCCUPANCY TODAY: 4.6% of sales (base 3.3% + NNN/% rent 1.3 pts) — within threshold</t>
  </si>
  <si>
    <t xml:space="preserve">KE 33851</t>
  </si>
  <si>
    <t xml:space="preserve">33851 — RENEWED to 7/31/31</t>
  </si>
  <si>
    <t xml:space="preserve">DEFAULT PROPOSAL (Scenario A): start $90,421/yr, +2% per 5-yr term, 20 yrs -&gt; total $1,863,400 (avg $93,170/yr)</t>
  </si>
  <si>
    <t xml:space="preserve">OCCUPANCY TODAY: 3.9% of sales (base 2.7% + NNN/% rent 1.2 pts) — within threshold</t>
  </si>
  <si>
    <t xml:space="preserve">KE 33847</t>
  </si>
  <si>
    <t xml:space="preserve">33847 — file assembled; step corrected</t>
  </si>
  <si>
    <t xml:space="preserve">DEFAULT PROPOSAL (Scenario A): start $131,769/yr, +2% per 5-yr term, 20 yrs -&gt; total $2,715,501 (avg $135,775/yr)</t>
  </si>
  <si>
    <t xml:space="preserve">OCCUPANCY TODAY: 6.3% of sales (base 4.5% + NNN/% rent 1.8 pts) — within threshold</t>
  </si>
  <si>
    <t xml:space="preserve">KE 33850</t>
  </si>
  <si>
    <t xml:space="preserve">33850-35850 — reconcile store# / address</t>
  </si>
  <si>
    <t xml:space="preserve">DEFAULT PROPOSAL (Scenario A): start $113,760/yr, +2% per 5-yr term, 20 yrs -&gt; total $2,344,371 (avg $117,219/yr)</t>
  </si>
  <si>
    <t xml:space="preserve">KE 33852</t>
  </si>
  <si>
    <t xml:space="preserve">33852 — On Hold; step 12/2/26</t>
  </si>
  <si>
    <t xml:space="preserve">DEFAULT PROPOSAL (Scenario A): start $107,000/yr, +2% per 5-yr term, 20 yrs -&gt; total $2,205,060 (avg $110,253/yr)</t>
  </si>
  <si>
    <t xml:space="preserve">OCCUPANCY TODAY: 3.7% of sales (base 3.1% + NNN/% rent 0.7 pts) — within threshold</t>
  </si>
  <si>
    <t xml:space="preserve">KE 35881</t>
  </si>
  <si>
    <t xml:space="preserve">35881 — Amarillo</t>
  </si>
  <si>
    <t xml:space="preserve">DEFAULT PROPOSAL (Scenario A): start $134,229/yr, +2% per 5-yr term, 20 yrs -&gt; total $2,766,197 (avg $138,310/yr)</t>
  </si>
  <si>
    <t xml:space="preserve">OCCUPANCY TODAY: 6.2% of sales (base 5.7% + NNN/% rent 0.6 pts) — within threshold</t>
  </si>
  <si>
    <t xml:space="preserve">JD 3052</t>
  </si>
  <si>
    <t xml:space="preserve">3052 — auto-renews; LL in probate</t>
  </si>
  <si>
    <t xml:space="preserve">DEFAULT PROPOSAL (Scenario A): start $96,000/yr, +2% per 5-yr term, 20 yrs -&gt; total $1,978,372 (avg $98,919/yr)</t>
  </si>
  <si>
    <t xml:space="preserve">NEEDS CEO SIGN-OFF: CPI provision in lease</t>
  </si>
  <si>
    <t xml:space="preserve">OCCUPANCY TODAY: 7.5% of sales (base 4.7% + NNN/% rent 2.8 pts) — above 7.5% highlight</t>
  </si>
  <si>
    <t xml:space="preserve">KE 31983</t>
  </si>
  <si>
    <t xml:space="preserve">31983 — 9.7% OCC HARD STOP; Mid-Term 6/30/27</t>
  </si>
  <si>
    <t xml:space="preserve">DEFAULT PROPOSAL (Scenario A): start $160,023/yr, +2% per 5-yr term, 20 yrs -&gt; total $3,297,760 (avg $164,888/yr)</t>
  </si>
  <si>
    <t xml:space="preserve">OCCUPANCY TODAY: 9.7% of sales (base 8.3% + NNN/% rent 1.4 pts) — AT/ABOVE 8% HARD STOP</t>
  </si>
  <si>
    <t xml:space="preserve">KE 31987</t>
  </si>
  <si>
    <t xml:space="preserve">31987 — 8.7% OCC + FA gap 1 DAY</t>
  </si>
  <si>
    <t xml:space="preserve">DEFAULT PROPOSAL (Scenario A): start $197,266/yr, +2% per 5-yr term, 20 yrs -&gt; total $4,065,266 (avg $203,263/yr)</t>
  </si>
  <si>
    <t xml:space="preserve">OCCUPANCY TODAY: 8.7% of sales (base 8.0% + NNN/% rent 0.7 pts) — AT/ABOVE 8% HARD STOP</t>
  </si>
  <si>
    <t xml:space="preserve">KE 31989</t>
  </si>
  <si>
    <t xml:space="preserve">31989 — NO OPTIONS past 2030 vs FA 2038</t>
  </si>
  <si>
    <t xml:space="preserve">DEFAULT PROPOSAL (Scenario A): start $42,648/yr, +2% per 5-yr term, 20 yrs -&gt; total $878,892 (avg $43,945/yr)</t>
  </si>
  <si>
    <t xml:space="preserve">OCCUPANCY TODAY: 2.2% of sales (base 1.8% + NNN/% rent 0.3 pts) — within threshold</t>
  </si>
  <si>
    <t xml:space="preserve">KE 31992</t>
  </si>
  <si>
    <t xml:space="preserve">31992 — options end BEFORE FA (short ~9 mo)</t>
  </si>
  <si>
    <t xml:space="preserve">DEFAULT PROPOSAL (Scenario A): start $58,447/yr, +2% per 5-yr term, 20 yrs -&gt; total $1,204,478 (avg $60,224/yr)</t>
  </si>
  <si>
    <t xml:space="preserve">OCCUPANCY TODAY: 2.8% of sales (base 2.1% + NNN/% rent 0.6 pts) — within threshold</t>
  </si>
  <si>
    <t xml:space="preserve">KE 31996</t>
  </si>
  <si>
    <t xml:space="preserve">31996 — NEAREST WI Mid-Term (1/13/27)</t>
  </si>
  <si>
    <t xml:space="preserve">DEFAULT PROPOSAL (Scenario A): start $120,043/yr, +2% per 5-yr term, 20 yrs -&gt; total $2,473,851 (avg $123,693/yr)</t>
  </si>
  <si>
    <t xml:space="preserve">OCCUPANCY TODAY: 5.9% of sales (base 5.0% + NNN/% rent 0.9 pts) — within threshold</t>
  </si>
  <si>
    <t xml:space="preserve">COLORADO BROKER COMPS — SOURCE DATA (verbatim from "Taco Bell Lease Renewal Comps Colorado Aug 2026 v2", rcvd 8/4/26)</t>
  </si>
  <si>
    <t xml:space="preserve">Feeds Section 2 of each store tab. CAUTION when using: $/yr figures are LEASE comps; $ lump sums marked "Sale" are LAND SALES, not rent comps. "no comp on CoStar" rows document the gap — broker follow-up requested for 33866, 18776, 35850, 4264, 36114 (all empty/thin below).</t>
  </si>
  <si>
    <t xml:space="preserve">TB# 18776</t>
  </si>
  <si>
    <t xml:space="preserve">350 S. Federal Blvd., Denver, CO</t>
  </si>
  <si>
    <t xml:space="preserve">Comps below (3-5) - fill in yellow cells</t>
  </si>
  <si>
    <t xml:space="preserve">Tenant Name</t>
  </si>
  <si>
    <t xml:space="preserve">Comp Address</t>
  </si>
  <si>
    <t xml:space="preserve">Year Deal Done</t>
  </si>
  <si>
    <t xml:space="preserve">Price</t>
  </si>
  <si>
    <t xml:space="preserve">Term</t>
  </si>
  <si>
    <t xml:space="preserve">SF / Acres</t>
  </si>
  <si>
    <t xml:space="preserve">TI's</t>
  </si>
  <si>
    <t xml:space="preserve">Annual Escalations</t>
  </si>
  <si>
    <t xml:space="preserve">Notes</t>
  </si>
  <si>
    <t xml:space="preserve">Dutch Bros</t>
  </si>
  <si>
    <t xml:space="preserve">2235 W. Alameda, Denver, CO</t>
  </si>
  <si>
    <t xml:space="preserve">No comp information on CoStar</t>
  </si>
  <si>
    <t xml:space="preserve">In &amp; Out</t>
  </si>
  <si>
    <t xml:space="preserve">150 S. Wadsworth Blvd., Lakewood, CO</t>
  </si>
  <si>
    <t xml:space="preserve">TB# 3186</t>
  </si>
  <si>
    <t xml:space="preserve">8220 S. Quebec St., Englewood (Centennial), CO</t>
  </si>
  <si>
    <t xml:space="preserve">Freddy's</t>
  </si>
  <si>
    <t xml:space="preserve">8260 S. Quebec St. (same shopping center), Centennial, CO</t>
  </si>
  <si>
    <t xml:space="preserve">$33/SF</t>
  </si>
  <si>
    <t xml:space="preserve">10 yrs</t>
  </si>
  <si>
    <t xml:space="preserve">3,476 SF</t>
  </si>
  <si>
    <t xml:space="preserve">$20/SF</t>
  </si>
  <si>
    <t xml:space="preserve">10% every 5 yrs</t>
  </si>
  <si>
    <t xml:space="preserve">Date not stated</t>
  </si>
  <si>
    <t xml:space="preserve">Birdcall</t>
  </si>
  <si>
    <t xml:space="preserve">Cherrywood Square, 7575 S. University Blvd, Centennial, CO</t>
  </si>
  <si>
    <t xml:space="preserve">2020</t>
  </si>
  <si>
    <t xml:space="preserve">$137,750/yr</t>
  </si>
  <si>
    <t xml:space="preserve">15 yrs</t>
  </si>
  <si>
    <t xml:space="preserve">2,415 SF</t>
  </si>
  <si>
    <t xml:space="preserve">No TI$</t>
  </si>
  <si>
    <t xml:space="preserve">9171 Westview Rd., Centennial, CO</t>
  </si>
  <si>
    <t xml:space="preserve">TB# 33838</t>
  </si>
  <si>
    <t xml:space="preserve">555 W. 104th Ave., Northglenn, CO</t>
  </si>
  <si>
    <t xml:space="preserve">Smalls</t>
  </si>
  <si>
    <t xml:space="preserve">555 W. 104th Ave. area, Northglenn, CO (land purchase)</t>
  </si>
  <si>
    <t xml:space="preserve">$2,000,000</t>
  </si>
  <si>
    <t xml:space="preserve">1.95 acres</t>
  </si>
  <si>
    <t xml:space="preserve">One lot for Smalls at $900,000</t>
  </si>
  <si>
    <t xml:space="preserve">AutoZone</t>
  </si>
  <si>
    <t xml:space="preserve">555 W. 104th Ave. area, Northglenn, CO</t>
  </si>
  <si>
    <t xml:space="preserve">$110,000/yr</t>
  </si>
  <si>
    <t xml:space="preserve">20 yrs</t>
  </si>
  <si>
    <t xml:space="preserve">1 acre</t>
  </si>
  <si>
    <t xml:space="preserve">TB# 33866</t>
  </si>
  <si>
    <t xml:space="preserve">3255 18th St., Boulder, CO</t>
  </si>
  <si>
    <t xml:space="preserve">TB# 33867</t>
  </si>
  <si>
    <t xml:space="preserve">1220 E. 1st Ave., Broomfield, CO</t>
  </si>
  <si>
    <t xml:space="preserve">Cherry Cricket</t>
  </si>
  <si>
    <t xml:space="preserve">1280 E. 1st Ave., Broomfield, CO</t>
  </si>
  <si>
    <t xml:space="preserve">$28/SF</t>
  </si>
  <si>
    <t xml:space="preserve">10 years</t>
  </si>
  <si>
    <t xml:space="preserve">8,500 SF</t>
  </si>
  <si>
    <t xml:space="preserve">Raising Cane's</t>
  </si>
  <si>
    <t xml:space="preserve">4640 W. 121st St., Broomfield, CO</t>
  </si>
  <si>
    <t xml:space="preserve">.91 Acres</t>
  </si>
  <si>
    <t xml:space="preserve">Sale</t>
  </si>
  <si>
    <t xml:space="preserve">Chick-fil-A</t>
  </si>
  <si>
    <t xml:space="preserve">4260 W. 121st Ave., Broomfield, CO</t>
  </si>
  <si>
    <t xml:space="preserve">no comp on CoStar</t>
  </si>
  <si>
    <t xml:space="preserve">Jack-in-the-box</t>
  </si>
  <si>
    <t xml:space="preserve">4640 W 121st Ave., Broomfield, CO</t>
  </si>
  <si>
    <t xml:space="preserve">.90 Acres</t>
  </si>
  <si>
    <t xml:space="preserve">TB# 33851</t>
  </si>
  <si>
    <t xml:space="preserve">1775 E. Colfax Rd., Denver, CO</t>
  </si>
  <si>
    <t xml:space="preserve">Taco Star</t>
  </si>
  <si>
    <t xml:space="preserve">6151 E. Colfax Ave., Denver, CO</t>
  </si>
  <si>
    <t xml:space="preserve">no comp on Costar</t>
  </si>
  <si>
    <t xml:space="preserve">Former Popeyes</t>
  </si>
  <si>
    <t xml:space="preserve">5454 E. Colfax Ave., Denver, CO</t>
  </si>
  <si>
    <t xml:space="preserve">.39 Acres (bldg. 2,175 SF)</t>
  </si>
  <si>
    <t xml:space="preserve">TB# 33847</t>
  </si>
  <si>
    <t xml:space="preserve">1265 S. Colorado Blvd., Denver, CO</t>
  </si>
  <si>
    <t xml:space="preserve">Quick Quack</t>
  </si>
  <si>
    <t xml:space="preserve">999 S. Colorado Blvd., Denver, CO</t>
  </si>
  <si>
    <t xml:space="preserve">2026</t>
  </si>
  <si>
    <t xml:space="preserve">$330,000/yr</t>
  </si>
  <si>
    <t xml:space="preserve">Dardano's</t>
  </si>
  <si>
    <t xml:space="preserve">S. Colorado Blvd., Denver, CO</t>
  </si>
  <si>
    <t xml:space="preserve">$7,000,000 ($80/SF)</t>
  </si>
  <si>
    <t xml:space="preserve">2 acres</t>
  </si>
  <si>
    <t xml:space="preserve">Finish Line Car Wash</t>
  </si>
  <si>
    <t xml:space="preserve">$3,000,000 (asking)</t>
  </si>
  <si>
    <t xml:space="preserve">0.5 acre</t>
  </si>
  <si>
    <t xml:space="preserve">On market</t>
  </si>
  <si>
    <t xml:space="preserve">$300,000/yr (agreed, deal died)</t>
  </si>
  <si>
    <t xml:space="preserve">Deal died due to stacking issue</t>
  </si>
  <si>
    <t xml:space="preserve">Former Arbys &amp; A&amp;W (Black Rock Coffee)</t>
  </si>
  <si>
    <t xml:space="preserve">2096 S Colorado Blvd., Denver CO</t>
  </si>
  <si>
    <t xml:space="preserve">$225,975/yr</t>
  </si>
  <si>
    <t xml:space="preserve">3,013 SF</t>
  </si>
  <si>
    <t xml:space="preserve">TB# 35850</t>
  </si>
  <si>
    <t xml:space="preserve">8695 E. Arapahoe Rd., Greenwood Village, CO</t>
  </si>
  <si>
    <t xml:space="preserve">Dave's Hot Chicken</t>
  </si>
  <si>
    <t xml:space="preserve">8511 E. Arapahoe Rd., Greenwood Village, CO</t>
  </si>
  <si>
    <t xml:space="preserve">Former Arby's</t>
  </si>
  <si>
    <t xml:space="preserve">S. Yosemite Rd., Greenwood Village, CO</t>
  </si>
  <si>
    <t xml:space="preserve">Former DQ</t>
  </si>
  <si>
    <t xml:space="preserve">TB# 33852</t>
  </si>
  <si>
    <t xml:space="preserve">2450 Baseline Rd., Boulder, CO</t>
  </si>
  <si>
    <t xml:space="preserve">Undisclosed</t>
  </si>
  <si>
    <t xml:space="preserve">28th &amp; Valmont 1 acre</t>
  </si>
  <si>
    <t xml:space="preserve">$250,000/yr</t>
  </si>
  <si>
    <t xml:space="preserve">1 ac</t>
  </si>
  <si>
    <t xml:space="preserve">n/a</t>
  </si>
  <si>
    <t xml:space="preserve">undisclosed</t>
  </si>
  <si>
    <t xml:space="preserve">28th &amp; Valmont 1/2 acres</t>
  </si>
  <si>
    <t xml:space="preserve">$150,000/yr</t>
  </si>
  <si>
    <t xml:space="preserve">1/2 ac</t>
  </si>
  <si>
    <t xml:space="preserve">Club Car Wash</t>
  </si>
  <si>
    <t xml:space="preserve">Hwy 287 &amp; Arapahoe </t>
  </si>
  <si>
    <t xml:space="preserve">1.25 ac</t>
  </si>
  <si>
    <t xml:space="preserve">Safeway anchored center in burbs</t>
  </si>
  <si>
    <t xml:space="preserve">TB# 4264</t>
  </si>
  <si>
    <t xml:space="preserve">3050 Youngfield St., Wheatridge, CO</t>
  </si>
  <si>
    <t xml:space="preserve">3190 Youngfield Street, Wheat Ridge, CO</t>
  </si>
  <si>
    <t xml:space="preserve">TB# 36114</t>
  </si>
  <si>
    <t xml:space="preserve">50 Telep Ave., Johnstown, CO</t>
  </si>
  <si>
    <t xml:space="preserve">RENEWAL DEAL WORKSHEET — 28521 — FMV DEAL (go-back 8/20)</t>
  </si>
  <si>
    <t xml:space="preserve">Three parts: (1) WHAT THE LEASE SAYS — actual schedule, no approximation. (2) COMP QUALIFICATION — every comp shown with its work; averages are REFERENCE ONLY, never a conclusion of FMV. (3) RENT SCENARIO TESTER — plug in any rent, see the financial impact.</t>
  </si>
  <si>
    <t xml:space="preserve">CEO SUMMARY — 28521 — FMV DEAL (go-back 8/20)</t>
  </si>
  <si>
    <t xml:space="preserve">SOP BASIS: FY25 SOP $369,230 (17.2% of sales) — the scenario tester computes PRO-FORMA SOP % live for every plugged rent, including the ROB APPROVED column. Each +$25K/yr rent ≈ −1.17 pts.</t>
  </si>
  <si>
    <t xml:space="preserve">— DETAIL BELOW: lease as written, % rent, occupancy build-up, comps, scenario tester + ROB APPROVED column, year-by-year deal grid, playbook checks —</t>
  </si>
  <si>
    <t xml:space="preserve">Store / Location</t>
  </si>
  <si>
    <t xml:space="preserve">TB# 28521 — 2054 Lomita Blvd., Lomita, CA [Tier 1]</t>
  </si>
  <si>
    <t xml:space="preserve">Landlord</t>
  </si>
  <si>
    <t xml:space="preserve">Tom D. &amp; Nancy C. Spears Co-Trustees (Larry Spears)</t>
  </si>
  <si>
    <t xml:space="preserve">Building / land size (assessor or public record)</t>
  </si>
  <si>
    <t xml:space="preserve">BLDG 2,286 SF / LOT 0.468 ac (20,385 SF) / built 1990 — LoopNet+PropertyShark parcel records 8/5/26</t>
  </si>
  <si>
    <t xml:space="preserve">Base-year annual sales ($) — P6 file</t>
  </si>
  <si>
    <t xml:space="preserve">ESCALATION MECHANISM — AS WRITTEN IN LEASE</t>
  </si>
  <si>
    <t xml:space="preserve">AS WRITTEN: "Landlord and tenant to agree on rent which equals fair market rental value" at each extension. NO fixed steps, NO CPI. In 1st ext to 9/30/2029; 2 x 5-yr remain -&gt; 9/30/2034.</t>
  </si>
  <si>
    <t xml:space="preserve">1. WHAT THE LEASE SAYS — actual rent schedule (per abstract; yellow = Finance/J.D. to supply)</t>
  </si>
  <si>
    <t xml:space="preserve">Period (as written)</t>
  </si>
  <si>
    <t xml:space="preserve">From</t>
  </si>
  <si>
    <t xml:space="preserve">To</t>
  </si>
  <si>
    <t xml:space="preserve">Monthly Rent</t>
  </si>
  <si>
    <t xml:space="preserve">Annual Rent</t>
  </si>
  <si>
    <t xml:space="preserve">Yrs in next-10 window</t>
  </si>
  <si>
    <t xml:space="preserve">Source / note</t>
  </si>
  <si>
    <t xml:space="preserve">Current — 1st extension</t>
  </si>
  <si>
    <t xml:space="preserve">10/1/2024</t>
  </si>
  <si>
    <t xml:space="preserve">9/30/2029</t>
  </si>
  <si>
    <t xml:space="preserve">AP ACTUAL (Simeon 8/3): $93,011/yr = $7,750.90/mo — FINANCE VALIDATED. Escalation steps below as written.</t>
  </si>
  <si>
    <t xml:space="preserve">2nd extension — FMV</t>
  </si>
  <si>
    <t xml:space="preserve">10/1/2029</t>
  </si>
  <si>
    <t xml:space="preserve">9/30/2034</t>
  </si>
  <si>
    <t xml:space="preserve">FMV to be agreed — the go-back sets this. Test candidates in Section 3</t>
  </si>
  <si>
    <t xml:space="preserve">3rd extension — FMV</t>
  </si>
  <si>
    <t xml:space="preserve">10/1/2034</t>
  </si>
  <si>
    <t xml:space="preserve">9/30/2039</t>
  </si>
  <si>
    <t xml:space="preserve">FMV again</t>
  </si>
  <si>
    <t xml:space="preserve">LEASE-PATH BASELINE — next 10 years total (annual x yrs in window):</t>
  </si>
  <si>
    <t xml:space="preserve">ESCALATION CHECK vs ARN DEFAULT PROPOSAL (2% per 5-YR term): CPI/FMV mechanism — no fixed steps to compare; playbook position: replace with fixed (2%/5-yr proposal applies)</t>
  </si>
  <si>
    <t xml:space="preserve">1c. OCCUPANCY BUILD-UP — AP actuals (Simeon 8/3/26) (highlight at &gt;= 7.5% of sales; 8% = HARD STOP)</t>
  </si>
  <si>
    <t xml:space="preserve">Base rent ($/yr)</t>
  </si>
  <si>
    <t xml:space="preserve">BASE-RENT-ONLY occupancy %</t>
  </si>
  <si>
    <t xml:space="preserve">Highlighted red if base rent ALONE &gt;= 7.5% of sales</t>
  </si>
  <si>
    <t xml:space="preserve">NNN ($/yr): CAM $0 + INS $0 + TAXES $18,414 + other $0</t>
  </si>
  <si>
    <t xml:space="preserve">INS excluded from AP extract where $0</t>
  </si>
  <si>
    <t xml:space="preserve">% rent actual (T12M)</t>
  </si>
  <si>
    <t xml:space="preserve">TOTAL occupancy ($/yr)</t>
  </si>
  <si>
    <t xml:space="preserve">TOTAL occupancy %</t>
  </si>
  <si>
    <t xml:space="preserve">Highlighted red if total &gt;= 7.5% of sales</t>
  </si>
  <si>
    <t xml:space="preserve">SOP BASIS — FY25 SOP: $369,230 = 17.2% of sales (P7 file) — rent Δ flows 1:1 to SOP. Each +$25K/yr of rent ≈ −1.17 pts of margin. Scenario tester row 'SOP IMPACT' computes pro-forma SOP % live for every plugged rent, including the ROB APPROVED column.</t>
  </si>
  <si>
    <t xml:space="preserve">Under 7.5% threshold (total 5.20% = base 4.34% + NNN/% rent 0.86 pts)</t>
  </si>
  <si>
    <t xml:space="preserve">1b. PERCENTAGE RENT CLAUSE — AS WRITTEN (natural breakpoint = annual base rent ÷ rate)</t>
  </si>
  <si>
    <t xml:space="preserve">% rent rate — as written</t>
  </si>
  <si>
    <t xml:space="preserve">Default 0 — no % rent in lease. Editable if discovered.</t>
  </si>
  <si>
    <t xml:space="preserve">Breakpoint — as written in lease</t>
  </si>
  <si>
    <t xml:space="preserve">NO % RENT CLAUSE identified for this store (per abstract) — rate defaulted to 0. If a clause is found, enter the rate here and any stated breakpoint below; all % rent math activates automatically.</t>
  </si>
  <si>
    <t xml:space="preserve">Quote the clause. If the lease states a $ breakpoint, enter it below; if silent, natural breakpoint applies.</t>
  </si>
  <si>
    <t xml:space="preserve">STATED breakpoint ($ annual sales), if any</t>
  </si>
  <si>
    <t xml:space="preserve">Leave blank = natural breakpoint used everywhere below.</t>
  </si>
  <si>
    <t xml:space="preserve">NATURAL breakpoint (computed) = current annual base ÷ rate</t>
  </si>
  <si>
    <t xml:space="preserve">Sales level at which % rent starts owing on the CURRENT base rent.</t>
  </si>
  <si>
    <t xml:space="preserve">EFFECTIVE breakpoint used (stated if present, else natural)</t>
  </si>
  <si>
    <t xml:space="preserve">% rent due at base-year sales (yr 1)</t>
  </si>
  <si>
    <t xml:space="preserve">TOTAL effective rent yr 1 (base + % rent)</t>
  </si>
  <si>
    <t xml:space="preserve">Effective occupancy % incl. % rent (alert at 7%)</t>
  </si>
  <si>
    <t xml:space="preserve">2. COMP QUALIFICATION — show the work. Average is REFERENCE ONLY; FMV is negotiated/appraised, never assumed = average.</t>
  </si>
  <si>
    <t xml:space="preserve">Tenant</t>
  </si>
  <si>
    <t xml:space="preserve">Address</t>
  </si>
  <si>
    <t xml:space="preserve">Deal date</t>
  </si>
  <si>
    <t xml:space="preserve">Deal type</t>
  </si>
  <si>
    <t xml:space="preserve">Bldg SF</t>
  </si>
  <si>
    <t xml:space="preserve">Land</t>
  </si>
  <si>
    <t xml:space="preserve">Same-type user? (QSR drive-thru)</t>
  </si>
  <si>
    <t xml:space="preserve">Comparability</t>
  </si>
  <si>
    <t xml:space="preserve">Why</t>
  </si>
  <si>
    <t xml:space="preserve">Arby's</t>
  </si>
  <si>
    <t xml:space="preserve">1525 Sepulveda Blvd., Torrance</t>
  </si>
  <si>
    <t xml:space="preserve">Oct 2018</t>
  </si>
  <si>
    <t xml:space="preserve">Lease RENEWAL</t>
  </si>
  <si>
    <t xml:space="preserve">19,772 SF lot</t>
  </si>
  <si>
    <t xml:space="preserve">YES — QSR drive-thru</t>
  </si>
  <si>
    <t xml:space="preserve">STRONG</t>
  </si>
  <si>
    <t xml:space="preserve">Same user + renewal like ours; 8 yrs old — market has moved</t>
  </si>
  <si>
    <t xml:space="preserve">Starbucks</t>
  </si>
  <si>
    <t xml:space="preserve">16400 Crenshaw Ave., Torrance</t>
  </si>
  <si>
    <t xml:space="preserve">Conversion of non-DT bldg</t>
  </si>
  <si>
    <t xml:space="preserve">15,454 SF lot</t>
  </si>
  <si>
    <t xml:space="preserve">MODERATE</t>
  </si>
  <si>
    <t xml:space="preserve">Conversion deal, not a renewal; 6 yrs old</t>
  </si>
  <si>
    <t xml:space="preserve">Weinerschnitzel</t>
  </si>
  <si>
    <t xml:space="preserve">14900 Hawthorne Blvd., Lawndale</t>
  </si>
  <si>
    <t xml:space="preserve">On market 2026</t>
  </si>
  <si>
    <t xml:space="preserve">ASKING</t>
  </si>
  <si>
    <t xml:space="preserve">2,700 SF bldg</t>
  </si>
  <si>
    <t xml:space="preserve">36,000 SF lot</t>
  </si>
  <si>
    <t xml:space="preserve">WEAK</t>
  </si>
  <si>
    <t xml:space="preserve">Asking rent, NOT signed; ceiling marker only</t>
  </si>
  <si>
    <t xml:space="preserve">Reference stats (informational — NOT an FMV conclusion): range and simple average of the rents above</t>
  </si>
  <si>
    <t xml:space="preserve">3. RENT SCENARIO TESTER — plug ANY rent into a yellow cell; impact computes vs. the lease baseline and reference comps</t>
  </si>
  <si>
    <t xml:space="preserve">Metric</t>
  </si>
  <si>
    <t xml:space="preserve">Test rent A</t>
  </si>
  <si>
    <t xml:space="preserve">Test rent B</t>
  </si>
  <si>
    <t xml:space="preserve">Test rent C</t>
  </si>
  <si>
    <t xml:space="preserve">Test rent D</t>
  </si>
  <si>
    <t xml:space="preserve">ROB — APPROVED PARAMETERS (capture live in meeting)</t>
  </si>
  <si>
    <t xml:space="preserve">Scenario label (what deal is this?)</t>
  </si>
  <si>
    <t xml:space="preserve">ARN DEFAULT PROPOSAL — current rent, +2% per 5-YR term, 20 yrs (4 x 5)</t>
  </si>
  <si>
    <t xml:space="preserve">PLUG IN: annual rent ($)</t>
  </si>
  <si>
    <t xml:space="preserve">PLUG IN: escalation % per period (blank = flat)</t>
  </si>
  <si>
    <t xml:space="preserve">PLUG IN: years per period</t>
  </si>
  <si>
    <t xml:space="preserve">PLUG IN: deal TERM in years (blank = 10-yr window)</t>
  </si>
  <si>
    <t xml:space="preserve">Rent vs. CURRENT in-place ($ / yr)</t>
  </si>
  <si>
    <t xml:space="preserve">Rent vs. current (%)</t>
  </si>
  <si>
    <t xml:space="preserve">Occupancy % of sales (year 1)</t>
  </si>
  <si>
    <t xml:space="preserve">vs. comp average (reference only)</t>
  </si>
  <si>
    <t xml:space="preserve">10-yr total at this rent + escalation</t>
  </si>
  <si>
    <t xml:space="preserve">10-yr IMPACT vs. lease-path baseline ($)</t>
  </si>
  <si>
    <t xml:space="preserve">PLUG IN: % rent RATE for this scenario (blank = lease rate; 0 = % rent REMOVED)</t>
  </si>
  <si>
    <t xml:space="preserve">PLUG IN: BREAKPOINT for this scenario ($; blank = lease stated/natural)</t>
  </si>
  <si>
    <t xml:space="preserve">% RENT — breakpoint used</t>
  </si>
  <si>
    <t xml:space="preserve">% RENT yr 1 = (sales − breakpoint) × rate</t>
  </si>
  <si>
    <t xml:space="preserve">ALL-IN rent yr 1 (base + % rent)</t>
  </si>
  <si>
    <t xml:space="preserve">ALL-IN occupancy % of sales (yr 1; alert at 7%)</t>
  </si>
  <si>
    <t xml:space="preserve">SOP IMPACT — pro-forma SOP % of sales at this yr-1 all-in</t>
  </si>
  <si>
    <t xml:space="preserve">10-yr % RENT (sales +2%/yr)</t>
  </si>
  <si>
    <t xml:space="preserve">10-yr ALL-IN total (base + % rent)</t>
  </si>
  <si>
    <t xml:space="preserve">TOTAL over plug-in TERM — base + % rent (sales +2%/yr)</t>
  </si>
  <si>
    <t xml:space="preserve">PLAYBOOK: effective escalation per 5-YR period</t>
  </si>
  <si>
    <t xml:space="preserve">PLAYBOOK: escalation ladder check — in-house authority ends at 8%/5-yr (Rob 8/5/26)</t>
  </si>
  <si>
    <t xml:space="preserve">PLAYBOOK: occupancy % YEAR 10 (all-in, sales +2%/yr)</t>
  </si>
  <si>
    <t xml:space="preserve">PLAYBOOK: occupancy check — HARD STOP at 8% of sales (Rob, 8/5/26)</t>
  </si>
  <si>
    <t xml:space="preserve">HARD STOP FLAG — LEASE CONTAINS AN FMV PROVISION: playbook standing position is to REMOVE FMV/CPI in favor of fixed escalations; ANY FMV provision (capped or not) requires CEO sign-off before responding.</t>
  </si>
  <si>
    <t xml:space="preserve">FRANCHISE ALIGNMENT (playbook): lease must NEVER run short of the FA expiration — confirm FA date before agreeing to term (FA dates requested in WI abstract package; maximize option years).</t>
  </si>
  <si>
    <t xml:space="preserve">Notes: 10-yr impact vs. baseline uses the lease schedule above (Section 1) — negative = cheaper than staying on the lease path. Comp average is a reference marker only; on FMV deals the qualified comps (Section 2) are evidence for negotiation/appraisal, not the answer. Occupancy alert threshold: 7% (Kim). % RENT rows use the rate/breakpoint from Section 1b: natural breakpoint recomputes off each TEST rent (higher base rent = higher breakpoint = less % rent); 10-yr % rent grows sales at 2%/yr (global assumption). The lease-path baseline in Section 1 is BASE RENT ONLY — compare all-in totals to all-in totals. PLAYBOOK rows check each scenario vs. ARN Lease Negotiation Playbook (JD 6-26-26): escalation converted to an effective %-per-5-yr and placed on the ladder — in-house authority ends at 8%/5-yr (Rob 8/5/26); anything above requires CEO sign-off BEFORE responding to the landlord. Occupancy tested at yr 1 AND yr 10 against the 8%-of-sales HARD STOP. HARD STOP DEFINED: projected occupancy (base + all additional rent) at/above 8% of sales -&gt; STOP the negotiation; no response to the landlord and no capital commitment until CEO sign-off (Rob-set threshold 8/5/26; playbook text reads 8% benchmark / 10% ceiling — 8% GOVERNS). Tier 1 stores may warrant CEO-approved flexibility outside these parameters (playbook, case-by-case).</t>
  </si>
  <si>
    <t xml:space="preserve">5. DEAL COMPARISON — YEAR-BY-YEAR ANNUAL RENT (LIVE: recalculates from the Section 3 inputs, incl. ROB APPROVED)</t>
  </si>
  <si>
    <t xml:space="preserve">CURRENT PATH: AP base escalated at the lease-implied step where known (Section 1 schedule governs) + % rent per Section 1b. Scenario columns show blank past their plug-in TERM. % rent uses year-1 natural breakpoint where no stated/override breakpoint.</t>
  </si>
  <si>
    <t xml:space="preserve">Year</t>
  </si>
  <si>
    <t xml:space="preserve">Sales (+2%)</t>
  </si>
  <si>
    <t xml:space="preserve">CURRENT PATH</t>
  </si>
  <si>
    <t xml:space="preserve">Scenario A</t>
  </si>
  <si>
    <t xml:space="preserve">Scenario B</t>
  </si>
  <si>
    <t xml:space="preserve">Scenario C</t>
  </si>
  <si>
    <t xml:space="preserve">Scenario D</t>
  </si>
  <si>
    <t xml:space="preserve">ROB — APPROVED</t>
  </si>
  <si>
    <t xml:space="preserve">Base</t>
  </si>
  <si>
    <t xml:space="preserve">% rent</t>
  </si>
  <si>
    <t xml:space="preserve">All-in</t>
  </si>
  <si>
    <t xml:space="preserve">20-YR TOTAL</t>
  </si>
  <si>
    <t xml:space="preserve">All-in totals compare directly: CURRENT path (col E) vs each scenario (cols H, K, N, Q) vs ROB APPROVED (col T). Blank = past that scenario TERM.</t>
  </si>
  <si>
    <t xml:space="preserve">RENEWAL DEAL WORKSHEET — 1968 — LIVE NEGOTIATION: counter LL terms</t>
  </si>
  <si>
    <t xml:space="preserve">CEO SUMMARY — 1968 Albuquerque — ARN R2 counter FOR CONSIDERATION: $140K, 2%/yr, 5% &gt; $3.2M breakpoint, 10-yr + 2 x 5 (NOT approved)</t>
  </si>
  <si>
    <t xml:space="preserve">SOP BASIS: FY25 SOP $703,853 (26.6% of sales) — the scenario tester computes PRO-FORMA SOP % live for every plugged rent, including the ROB APPROVED column. Each +$25K/yr rent ≈ −0.94 pts.</t>
  </si>
  <si>
    <t xml:space="preserve">TB# 1968 — 9600 Montgomery Blvd. NE, Albuquerque, NM [Tier 1]</t>
  </si>
  <si>
    <t xml:space="preserve">Sierra Vista Realty Corp. (CPP Sierra Vista LLC)</t>
  </si>
  <si>
    <t xml:space="preserve">BLDG 1,824 SF / LOT 0.50 ac (~21,780 SF) — LoopNet parcel record 8/5/26</t>
  </si>
  <si>
    <t xml:space="preserve">AS WRITTEN: $48,047 base + 5% of net sales over $902,482 breakpoint = $135,774 all-in (5.1% occ). NEGOTIATION ROUNDS: ARN R1 — $135K, 10% escalations per 5-yr term (and options), NO % rent, 5-yr term + 2x5. LL COUNTER — $150K, 3%/yr, 5% &gt; $3M bp, and term moved to 10-yr + 2x5 (20 yrs). ARN R2 (PROPOSAL FOR CONSIDERATION, not approved) — accept the 10 + 2x5 structure, $140K, 2%/yr, 5% &gt; $3.2M bp. KEY EQUIVALENCE: R2 2%/yr compounds to ~10.4%/5-yr — the SAME escalation cadence ARN offered in R1 (10%/5-yr), annualized; both sit above the 8%/5-yr in-house authority (Rob 8/5/26) -&gt; CEO sign-off either way.</t>
  </si>
  <si>
    <t xml:space="preserve">Current — in place</t>
  </si>
  <si>
    <t xml:space="preserve">today</t>
  </si>
  <si>
    <t xml:space="preserve">1/31/2027</t>
  </si>
  <si>
    <t xml:space="preserve">AP ACTUAL (Simeon 8/3): $48,047/yr = $4,003.92/mo — FINANCE VALIDATED. Escalation steps below as written.</t>
  </si>
  <si>
    <t xml:space="preserve">Scheduled — yrs 1-5 of window</t>
  </si>
  <si>
    <t xml:space="preserve">2/1/2027</t>
  </si>
  <si>
    <t xml:space="preserve">1/31/2032</t>
  </si>
  <si>
    <t xml:space="preserve">AVG of scheduled steps $3,925.61 (2/27) rising 2%/yr — exact per-year schedule in abstract</t>
  </si>
  <si>
    <t xml:space="preserve">Scheduled — yrs 6-10</t>
  </si>
  <si>
    <t xml:space="preserve">2/1/2032</t>
  </si>
  <si>
    <t xml:space="preserve">1/31/2037</t>
  </si>
  <si>
    <t xml:space="preserve">AVG; +2%/yr continues per schedule</t>
  </si>
  <si>
    <t xml:space="preserve">ESCALATION CHECK vs ARN DEFAULT PROPOSAL (2% per 5-YR term): LEASE ESCALATES FASTER than 2%/5-yr (~10.4% per period) — the 2% proposal is a REDUCTION ask</t>
  </si>
  <si>
    <t xml:space="preserve">NNN ($/yr): CAM $0 + INS $0 + TAXES $6,393 + other $0</t>
  </si>
  <si>
    <t xml:space="preserve">SOP BASIS — FY25 SOP: $703,853 = 26.6% of sales (P7 file) — rent Δ flows 1:1 to SOP. Each +$25K/yr of rent ≈ −0.94 pts of margin. Scenario tester row 'SOP IMPACT' computes pro-forma SOP % live for every plugged rent, including the ROB APPROVED column.</t>
  </si>
  <si>
    <t xml:space="preserve">Under 7.5% threshold (total 5.63% = base 1.81% + NNN/% rent 3.82 pts)</t>
  </si>
  <si>
    <t xml:space="preserve">5% per % rent ledger + negotiation model. All-in $135,774 = 5.1% occupancy on NET sales basis $2,657,018.</t>
  </si>
  <si>
    <t xml:space="preserve">CURRENT LEASE: 5% of NET sales over STATED $902,482 breakpoint. LL proposes moving bp to $3,000,000 (defers % rent only ~2 yrs — sales cross $3M in yr 3; maxes ~$25K/yr at cap). Tenant position: REMOVE % rent entirely.</t>
  </si>
  <si>
    <t xml:space="preserve">NET sales basis $2,657,018 (ledger) vs P6 gross $2,648,647 used in D6 — minor diff. LEDGER FLAG: 2024-25 tab missing monthly sales (shows -$35,268 vs $77,457.30 actually paid) — fix before Finance validation. 20-yr deal totals live in 1968_flex_v2.xlsx (5% sales growth to $3.5M cap); 10-yr rows here use global 2% assumption.</t>
  </si>
  <si>
    <t xml:space="preserve">[No comps returned yet — broker follow-up requested]</t>
  </si>
  <si>
    <t xml:space="preserve">Pending</t>
  </si>
  <si>
    <t xml:space="preserve">ARN R2-STEPPED — RECOMMENDED COUNTER (for consideration, not approved): $140K, 10% STEPS per 5-yr term, 5% &gt; $3.2M bp, 10-yr + 2x5 (20 yrs)</t>
  </si>
  <si>
    <t xml:space="preserve">ARN R2 as floated — $140K, 2% ANNUAL (~10.4%/5-yr), 5% &gt; $3.2M bp, 20 yrs. Same cadence as A; annual compounding inside each period costs +$152,932</t>
  </si>
  <si>
    <t xml:space="preserve">LL COUNTER — $150K, 3%/yr, 5% &gt; $3M bp, 10-yr + 2x5 (20 yrs)</t>
  </si>
  <si>
    <t xml:space="preserve">ARN R1 (as proposed) — $135K, 10% per 5-yr term + options, NO % rent, 5-yr + 2x5 (15 yrs)</t>
  </si>
  <si>
    <t xml:space="preserve">RENEWAL DEAL WORKSHEET — 28512 — Pending FA; then renewal</t>
  </si>
  <si>
    <t xml:space="preserve">CEO SUMMARY — 28512 — Pending FA; then renewal</t>
  </si>
  <si>
    <t xml:space="preserve">SOP BASIS: FY25 SOP $37,470 (2.8% of sales) — the scenario tester computes PRO-FORMA SOP % live for every plugged rent, including the ROB APPROVED column. Each +$25K/yr rent ≈ −1.89 pts.</t>
  </si>
  <si>
    <t xml:space="preserve">TB# 28512 — 10300 Alondra Blvd., Bellflower, CA [Tier 1]</t>
  </si>
  <si>
    <t xml:space="preserve">Susan D. Monell Trust</t>
  </si>
  <si>
    <t xml:space="preserve">BLDG 2,486 SF / LOT 0.59 ac (~25,700 SF) — LoopNet parcel record 8/5/26</t>
  </si>
  <si>
    <t xml:space="preserve">AS WRITTEN: rent increases by CPI at extension, CAPPED at 12.5% per 5-yr period, never decreases. 1 x 5-yr ext remains (opt-out notice 6/20/2028); lease ENDS 12/20/2033 — nothing after without a new deal. FA extension in process gates the renewal.</t>
  </si>
  <si>
    <t xml:space="preserve">Current term</t>
  </si>
  <si>
    <t xml:space="preserve">12/20/2028</t>
  </si>
  <si>
    <t xml:space="preserve">AP ACTUAL (Simeon 8/3): $121,217/yr = $10,101.39/mo — FINANCE VALIDATED. Escalation steps below as written.</t>
  </si>
  <si>
    <t xml:space="preserve">Final extension — CPI capped</t>
  </si>
  <si>
    <t xml:space="preserve">12/21/2028</t>
  </si>
  <si>
    <t xml:space="preserve">12/20/2033</t>
  </si>
  <si>
    <t xml:space="preserve">CPI-based, max +12.5%; enter estimate to test</t>
  </si>
  <si>
    <t xml:space="preserve">AFTER 12/20/2033 — NO LEASE</t>
  </si>
  <si>
    <t xml:space="preserve">12/21/2033</t>
  </si>
  <si>
    <t xml:space="preserve">—</t>
  </si>
  <si>
    <t xml:space="preserve">No options remain beyond 2033 — new deal or exit</t>
  </si>
  <si>
    <t xml:space="preserve">NNN ($/yr): CAM $0 + INS $0 + TAXES $48,463 + other $0</t>
  </si>
  <si>
    <t xml:space="preserve">SOP BASIS — FY25 SOP: $37,470 = 2.8% of sales (P7 file) — rent Δ flows 1:1 to SOP. Each +$25K/yr of rent ≈ −1.89 pts of margin. Scenario tester row 'SOP IMPACT' computes pro-forma SOP % live for every plugged rent, including the ROB APPROVED column.</t>
  </si>
  <si>
    <t xml:space="preserve">DRIVER: BASE RENT ALONE is &gt;= 7.5% (9.18%) — rent is the problem, NNN adds 3.67 pts on top</t>
  </si>
  <si>
    <t xml:space="preserve">El Pollo Loco</t>
  </si>
  <si>
    <t xml:space="preserve">10200 Alondra Blvd. — SAME BLOCK</t>
  </si>
  <si>
    <t xml:space="preserve">2026 (in negotiation)</t>
  </si>
  <si>
    <t xml:space="preserve">RENEWAL in progress</t>
  </si>
  <si>
    <t xml:space="preserve">15,682 SF lot</t>
  </si>
  <si>
    <t xml:space="preserve">Same block, same user, live renewal — best evidence in the set</t>
  </si>
  <si>
    <t xml:space="preserve">McDonald's</t>
  </si>
  <si>
    <t xml:space="preserve">10146 Artesia Blvd., Bellflower</t>
  </si>
  <si>
    <t xml:space="preserve">Dec 2023</t>
  </si>
  <si>
    <t xml:space="preserve">New 20-yr, 12x5 options, 10%/5-yr</t>
  </si>
  <si>
    <t xml:space="preserve">22,650 SF lot</t>
  </si>
  <si>
    <t xml:space="preserve">Recent, same trade area</t>
  </si>
  <si>
    <t xml:space="preserve">Pollo Campero</t>
  </si>
  <si>
    <t xml:space="preserve">9045 Rosecrans Ave., Bellflower</t>
  </si>
  <si>
    <t xml:space="preserve">2024</t>
  </si>
  <si>
    <t xml:space="preserve">New 15-yr, 10%/5-yr</t>
  </si>
  <si>
    <t xml:space="preserve">27,878 SF lot</t>
  </si>
  <si>
    <t xml:space="preserve">HARD STOP FLAG — LEASE CONTAINS A CPI PROVISION: playbook standing position is to REMOVE CPI/FMV in favor of fixed escalations; ANY CPI provision (capped or not) requires CEO sign-off before responding.</t>
  </si>
  <si>
    <t xml:space="preserve">RENEWAL DEAL WORKSHEET — 28518 — notice 10/1/26; schedule CORRECTED</t>
  </si>
  <si>
    <t xml:space="preserve">CEO SUMMARY — 28518 — notice 10/1/26; schedule CORRECTED</t>
  </si>
  <si>
    <t xml:space="preserve">SOP BASIS: FY25 SOP $450,498 (20.3% of sales) — the scenario tester computes PRO-FORMA SOP % live for every plugged rent, including the ROB APPROVED column. Each +$25K/yr rent ≈ −1.13 pts.</t>
  </si>
  <si>
    <t xml:space="preserve">TB# 28518 — 22235 S. Main St., Carson, CA [Tier 1]</t>
  </si>
  <si>
    <t xml:space="preserve">William M. &amp; Shelia Fitzpatrick</t>
  </si>
  <si>
    <t xml:space="preserve">AS WRITTEN (CORRECTED by Kathy 8/4: misprint $45,704 -&gt; $5,704.00/mo for 2026-30): steps ~+10%/5-yr ($6,274.40/mo 2031-35, $6,901.84 2036-40). Extension notice due 10/1/2026. Term to 4/1/2031 + ext -&gt; 4/1/2050. Schedule VALIDATED: $5,704 x 12 = $68,448 = AP actual (Simeon 8/3).</t>
  </si>
  <si>
    <t xml:space="preserve">Current term (2026-30)</t>
  </si>
  <si>
    <t xml:space="preserve">3/31/2031</t>
  </si>
  <si>
    <t xml:space="preserve">AP ACTUAL (Simeon 8/3): $68,448/yr = $5,704.00/mo — FINANCE VALIDATED. Escalation steps below as written.</t>
  </si>
  <si>
    <t xml:space="preserve">2031-2035 (per abstract)</t>
  </si>
  <si>
    <t xml:space="preserve">4/1/2031</t>
  </si>
  <si>
    <t xml:space="preserve">3/31/2036</t>
  </si>
  <si>
    <t xml:space="preserve">Fixed step (~+10%)</t>
  </si>
  <si>
    <t xml:space="preserve">2036-2040 (per abstract)</t>
  </si>
  <si>
    <t xml:space="preserve">4/1/2036</t>
  </si>
  <si>
    <t xml:space="preserve">3/31/2041</t>
  </si>
  <si>
    <t xml:space="preserve">ESCALATION CHECK vs ARN DEFAULT PROPOSAL (2% per 5-YR term): LEASE ESCALATES FASTER than 2%/5-yr (~10.0% per period) — the 2% proposal is a REDUCTION ask</t>
  </si>
  <si>
    <t xml:space="preserve">NNN ($/yr): CAM $0 + INS $0 + TAXES $15,851 + other $0</t>
  </si>
  <si>
    <t xml:space="preserve">SOP BASIS — FY25 SOP: $450,498 = 20.3% of sales (P7 file) — rent Δ flows 1:1 to SOP. Each +$25K/yr of rent ≈ −1.13 pts of margin. Scenario tester row 'SOP IMPACT' computes pro-forma SOP % live for every plugged rent, including the ROB APPROVED column.</t>
  </si>
  <si>
    <t xml:space="preserve">Under 7.5% threshold (total 3.79% = base 3.08% + NNN/% rent 0.71 pts)</t>
  </si>
  <si>
    <t xml:space="preserve">20501 Avalon Blvd., Carson</t>
  </si>
  <si>
    <t xml:space="preserve">May 2021</t>
  </si>
  <si>
    <t xml:space="preserve">Ground lease, 20-yr, 4x5 options</t>
  </si>
  <si>
    <t xml:space="preserve">53,143 SF lot</t>
  </si>
  <si>
    <t xml:space="preserve">Same city + user but premium new GL on a much larger lot</t>
  </si>
  <si>
    <t xml:space="preserve">Ono Hawaiian</t>
  </si>
  <si>
    <t xml:space="preserve">619 W. Carson St., Carson</t>
  </si>
  <si>
    <t xml:space="preserve">2025</t>
  </si>
  <si>
    <t xml:space="preserve">New 20-yr, 12.5% increases</t>
  </si>
  <si>
    <t xml:space="preserve">22,000 SF lot</t>
  </si>
  <si>
    <t xml:space="preserve">Recent, same city, comparable lot</t>
  </si>
  <si>
    <t xml:space="preserve">RENEWAL DEAL WORKSHEET — 2828 — NO OPTIONS; new deal (Fred Reid)</t>
  </si>
  <si>
    <t xml:space="preserve">CEO SUMMARY — 2828 — NO OPTIONS; new deal (Fred Reid)</t>
  </si>
  <si>
    <t xml:space="preserve">SOP BASIS: FY25 SOP $715,108 (24.1% of sales) — the scenario tester computes PRO-FORMA SOP % live for every plugged rent, including the ROB APPROVED column. Each +$25K/yr rent ≈ −0.84 pts.</t>
  </si>
  <si>
    <t xml:space="preserve">TB# 2828 — 2545 Long Beach Blvd., Long Beach, CA [Tier 1]</t>
  </si>
  <si>
    <t xml:space="preserve">D &amp; R Enterprises — LL Fred Reid (per Kim; tracker showed Beth Parotti)</t>
  </si>
  <si>
    <t xml:space="preserve">AS WRITTEN: term ends 12/31/2030 (First Am.) with NO extensions remaining. Annual escalator per lease formula during remaining term. Renewal = entirely new negotiated deal.</t>
  </si>
  <si>
    <t xml:space="preserve">Current term (annual escalator)</t>
  </si>
  <si>
    <t xml:space="preserve">12/31/2030</t>
  </si>
  <si>
    <t xml:space="preserve">AP ACTUAL (Simeon 8/3): $156,048/yr = $13,003.99/mo — FINANCE VALIDATED. Escalation steps below as written.</t>
  </si>
  <si>
    <t xml:space="preserve">AFTER 12/31/2030 — NO LEASE</t>
  </si>
  <si>
    <t xml:space="preserve">1/1/2031</t>
  </si>
  <si>
    <t xml:space="preserve">No options — new-deal rent applies; test candidates in Section 3</t>
  </si>
  <si>
    <t xml:space="preserve">ESCALATION CHECK vs ARN DEFAULT PROPOSAL (2% per 5-YR term): Schedule pending — comparison available once abstract rates load</t>
  </si>
  <si>
    <t xml:space="preserve">NNN ($/yr): CAM $12,828 + INS $0 + TAXES $13,799 + other $0</t>
  </si>
  <si>
    <t xml:space="preserve">SOP BASIS — FY25 SOP: $715,108 = 24.1% of sales (P7 file) — rent Δ flows 1:1 to SOP. Each +$25K/yr of rent ≈ −0.84 pts of margin. Scenario tester row 'SOP IMPACT' computes pro-forma SOP % live for every plugged rent, including the ROB APPROVED column.</t>
  </si>
  <si>
    <t xml:space="preserve">Under 7.5% threshold (total 6.16% = base 5.26% + NNN/% rent 0.90 pts)</t>
  </si>
  <si>
    <t xml:space="preserve">Yoshinoya</t>
  </si>
  <si>
    <t xml:space="preserve">1827 N. Long Beach Blvd., Compton</t>
  </si>
  <si>
    <t xml:space="preserve">New 15-yr, bumps every 7.5 yrs</t>
  </si>
  <si>
    <t xml:space="preserve">19,738 SF lot</t>
  </si>
  <si>
    <t xml:space="preserve">Same corridor (Long Beach Blvd.), recent, same size class</t>
  </si>
  <si>
    <t xml:space="preserve">In-N-Out</t>
  </si>
  <si>
    <t xml:space="preserve">2200 W. Artesia Blvd., Compton</t>
  </si>
  <si>
    <t xml:space="preserve">2019</t>
  </si>
  <si>
    <t xml:space="preserve">Ground lease, 20-yr, 4x5, 10%/5-yr</t>
  </si>
  <si>
    <t xml:space="preserve">52,000 SF lot</t>
  </si>
  <si>
    <t xml:space="preserve">Premium operator, much larger lot, 7 yrs old</t>
  </si>
  <si>
    <t xml:space="preserve">Jack in the Box</t>
  </si>
  <si>
    <t xml:space="preserve">6601 E. Alondra Blvd., Paramount</t>
  </si>
  <si>
    <t xml:space="preserve">2021</t>
  </si>
  <si>
    <t xml:space="preserve">23,836 SF lot</t>
  </si>
  <si>
    <t xml:space="preserve">Adjacent market, comparable lot</t>
  </si>
  <si>
    <t xml:space="preserve">RENEWAL DEAL WORKSHEET — 3186 — On Hold; purchase vs. options</t>
  </si>
  <si>
    <t xml:space="preserve">CEO SUMMARY — 3186 — On Hold; purchase vs. options</t>
  </si>
  <si>
    <t xml:space="preserve">SOP BASIS: FY25 SOP $658,008 (24.0% of sales) — the scenario tester computes PRO-FORMA SOP % live for every plugged rent, including the ROB APPROVED column. Each +$25K/yr rent ≈ −0.91 pts.</t>
  </si>
  <si>
    <t xml:space="preserve">TB# 3186 — 8220 S. Quebec St., Centennial, CO [Tier 1]</t>
  </si>
  <si>
    <t xml:space="preserve">Hannay Realty Advisors CO, LP (Lori Giggey, Vestar)</t>
  </si>
  <si>
    <t xml:space="preserve">AS WRITTEN: fixed steps — $6,245.21/mo 10/19/26-10/18/31; $6,869.73/mo to 10/18/36 (+10.0%/5-yr). Notice 4/21/2031. Context: comps −18.2% YTD — purchase-vs-options decision.</t>
  </si>
  <si>
    <t xml:space="preserve">Current period</t>
  </si>
  <si>
    <t xml:space="preserve">10/18/2026</t>
  </si>
  <si>
    <t xml:space="preserve">AP ACTUAL (Simeon 8/3): $68,130/yr = $5,677.46/mo — FINANCE VALIDATED. Escalation steps below as written.</t>
  </si>
  <si>
    <t xml:space="preserve">Next step (fixed)</t>
  </si>
  <si>
    <t xml:space="preserve">10/19/2026</t>
  </si>
  <si>
    <t xml:space="preserve">10/18/2031</t>
  </si>
  <si>
    <t xml:space="preserve">Fixed in lease</t>
  </si>
  <si>
    <t xml:space="preserve">Following step (fixed)</t>
  </si>
  <si>
    <t xml:space="preserve">10/19/2031</t>
  </si>
  <si>
    <t xml:space="preserve">10/18/2036</t>
  </si>
  <si>
    <t xml:space="preserve">Fixed (+10.0%)</t>
  </si>
  <si>
    <t xml:space="preserve">NNN ($/yr): CAM $6,519 + INS $0 + TAXES $39,702 + other $0</t>
  </si>
  <si>
    <t xml:space="preserve">SOP BASIS — FY25 SOP: $658,008 = 24.0% of sales (P7 file) — rent Δ flows 1:1 to SOP. Each +$25K/yr of rent ≈ −0.91 pts of margin. Scenario tester row 'SOP IMPACT' computes pro-forma SOP % live for every plugged rent, including the ROB APPROVED column.</t>
  </si>
  <si>
    <t xml:space="preserve">Under 7.5% threshold (total 4.17% = base 2.48% + NNN/% rent 1.68 pts)</t>
  </si>
  <si>
    <t xml:space="preserve">7575 S. University Blvd. (Cherrywood Sq.)</t>
  </si>
  <si>
    <t xml:space="preserve">2,415 SF bldg</t>
  </si>
  <si>
    <t xml:space="preserve">YES — fast casual w/ DT</t>
  </si>
  <si>
    <t xml:space="preserve">Similar size/user; 6 yrs old; different corridor</t>
  </si>
  <si>
    <t xml:space="preserve">8260 S. Quebec St. — SAME shopping center</t>
  </si>
  <si>
    <t xml:space="preserve">New 10-yr, 10%/5-yr, $20/SF TI</t>
  </si>
  <si>
    <t xml:space="preserve">3,476 SF bldg</t>
  </si>
  <si>
    <t xml:space="preserve">Same center as subject ($33/SF x 3,476); confirm deal year w/ broker</t>
  </si>
  <si>
    <t xml:space="preserve">RENEWAL DEAL WORKSHEET — 33838 — TWO leases / two LLs</t>
  </si>
  <si>
    <t xml:space="preserve">CEO SUMMARY — 33838 — TWO leases / two LLs</t>
  </si>
  <si>
    <t xml:space="preserve">SOP BASIS: FY25 SOP $907,697 (27.9% of sales) — the scenario tester computes PRO-FORMA SOP % live for every plugged rent, including the ROB APPROVED column. Each +$25K/yr rent ≈ −0.77 pts.</t>
  </si>
  <si>
    <t xml:space="preserve">TB# 33838 — 555 &amp; 549 W. 104th Ave., Northglenn, CO [Tier 1]</t>
  </si>
  <si>
    <t xml:space="preserve">Joan Rubenstein Trust (Lot 1) + David Bers interests (Lot 2) — two separate ground leases</t>
  </si>
  <si>
    <t xml:space="preserve">AS WRITTEN: TWO ground leases on adjacent lots with different landlords and different notice dates — cannot be renewed on one paper; earlier date governs keeping the site whole. Auto-extends unless LL notified. Escalators per each lease — VERIFY both.</t>
  </si>
  <si>
    <t xml:space="preserve">Current combined (both leases)</t>
  </si>
  <si>
    <t xml:space="preserve">10/28/2026 (auto)</t>
  </si>
  <si>
    <t xml:space="preserve">AP ACTUAL (Simeon 8/3): $163,140/yr = $13,595.00/mo — FINANCE VALIDATED. Replaces $9,167.00/mo (Δ $+4,428.00) — Finance governs. Escalation steps below as written.</t>
  </si>
  <si>
    <t xml:space="preserve">NNN ($/yr): CAM $0 + INS $0 + TAXES $44,590 + other $0</t>
  </si>
  <si>
    <t xml:space="preserve">SOP BASIS — FY25 SOP: $907,697 = 27.9% of sales (P7 file) — rent Δ flows 1:1 to SOP. Each +$25K/yr of rent ≈ −0.77 pts of margin. Scenario tester row 'SOP IMPACT' computes pro-forma SOP % live for every plugged rent, including the ROB APPROVED column.</t>
  </si>
  <si>
    <t xml:space="preserve">Under 7.5% threshold (total 6.37% = base 5.01% + NNN/% rent 1.37 pts)</t>
  </si>
  <si>
    <t xml:space="preserve">555 W. 104th Ave. area, Northglenn</t>
  </si>
  <si>
    <t xml:space="preserve">New 20-yr, 10%/5-yr</t>
  </si>
  <si>
    <t xml:space="preserve">NO — auto parts retail</t>
  </si>
  <si>
    <t xml:space="preserve">Same intersection + deal structure, but NOT a restaurant user; only rent comp returned</t>
  </si>
  <si>
    <t xml:space="preserve">Smalls (land)</t>
  </si>
  <si>
    <t xml:space="preserve">same area</t>
  </si>
  <si>
    <t xml:space="preserve">LAND SALE $2.0M (1.95 ac)</t>
  </si>
  <si>
    <t xml:space="preserve">1.95 ac</t>
  </si>
  <si>
    <t xml:space="preserve">Sale, not rent — context only</t>
  </si>
  <si>
    <t xml:space="preserve">RENEWAL DEAL WORKSHEET — 33866 — FMV DEAL; stipulate Option 5</t>
  </si>
  <si>
    <t xml:space="preserve">CEO SUMMARY — 33866 — FMV DEAL; stipulate Option 5</t>
  </si>
  <si>
    <t xml:space="preserve">SOP BASIS: FY25 SOP $508,911 (20.4% of sales) — the scenario tester computes PRO-FORMA SOP % live for every plugged rent, including the ROB APPROVED column. Each +$25K/yr rent ≈ −1.00 pts.</t>
  </si>
  <si>
    <t xml:space="preserve">TB# 33866 — 3255 28th St., Boulder, CO [Tier 1]</t>
  </si>
  <si>
    <t xml:space="preserve">Stephen D. Tebo dba Tebo Development</t>
  </si>
  <si>
    <t xml:space="preserve">PARCEL record shows 9,482 SF bldg / 1.15 ac — LIKELY MULTI-TENANT/CENTER PARCEL, VERIFY TB building SF separately (LoopNet 8/5/26)</t>
  </si>
  <si>
    <t xml:space="preserve">AS WRITTEN: +10% of preceding-period rent at each extension; 2 options remain -&gt; 10/22/2035. Option 5 carries the LL FMV request — the ask is to STIPULATE Option 5 rent NOW to avoid a market reset. Notice 4/22/2030.</t>
  </si>
  <si>
    <t xml:space="preserve">Current extension</t>
  </si>
  <si>
    <t xml:space="preserve">~10/22/2030</t>
  </si>
  <si>
    <t xml:space="preserve">AP ACTUAL (Simeon 8/3): $139,392/yr = $11,616.00/mo — FINANCE VALIDATED. Escalation steps below as written.</t>
  </si>
  <si>
    <t xml:space="preserve">Option 5 — FMV unless stipulated</t>
  </si>
  <si>
    <t xml:space="preserve">10/23/2030</t>
  </si>
  <si>
    <t xml:space="preserve">10/22/2035</t>
  </si>
  <si>
    <t xml:space="preserve">THE decision: stipulate a number now (test in Section 3) vs. FMV later</t>
  </si>
  <si>
    <t xml:space="preserve">Beyond 10/22/2035 — no options</t>
  </si>
  <si>
    <t xml:space="preserve">Control ends unless new deal</t>
  </si>
  <si>
    <t xml:space="preserve">NNN ($/yr): CAM $36,000 + INS $0 + TAXES $3,640 + other $0</t>
  </si>
  <si>
    <t xml:space="preserve">SOP BASIS — FY25 SOP: $508,911 = 20.4% of sales (P7 file) — rent Δ flows 1:1 to SOP. Each +$25K/yr of rent ≈ −1.00 pts of margin. Scenario tester row 'SOP IMPACT' computes pro-forma SOP % live for every plugged rent, including the ROB APPROVED column.</t>
  </si>
  <si>
    <t xml:space="preserve">Under 7.5% threshold (total 7.20% = base 5.60% + NNN/% rent 1.59 pts)</t>
  </si>
  <si>
    <t xml:space="preserve">RENEWAL DEAL WORKSHEET — 18776 — 1 ext left; purchase/replat track</t>
  </si>
  <si>
    <t xml:space="preserve">CEO SUMMARY — 18776 — 1 ext left; purchase/replat track</t>
  </si>
  <si>
    <t xml:space="preserve">SOP BASIS: FY25 SOP $428,163 (21.0% of sales) — the scenario tester computes PRO-FORMA SOP % live for every plugged rent, including the ROB APPROVED column. Each +$25K/yr rent ≈ −1.22 pts.</t>
  </si>
  <si>
    <t xml:space="preserve">TB# 18776 — 350 S. Federal Blvd., Denver, CO [Tier 1]</t>
  </si>
  <si>
    <t xml:space="preserve">FED-3, LLC (Minneapolis)</t>
  </si>
  <si>
    <t xml:space="preserve">AS WRITTEN: Ext 3 $5,189.47/mo; Ext 4 (FINAL) $5,708.42/mo (+10%). NO percentage rent, NO CPI. Notice 8/1/2030; control ENDS 1/31/2036 — drives the purchase/replat conversation. FLAGS: commencement blank; restated GL unsigned markup.</t>
  </si>
  <si>
    <t xml:space="preserve">Extension 3 (current)</t>
  </si>
  <si>
    <t xml:space="preserve">1/31/2031</t>
  </si>
  <si>
    <t xml:space="preserve">AP ACTUAL (Simeon 8/3): $62,274/yr = $5,189.47/mo — FINANCE VALIDATED. Escalation steps below as written.</t>
  </si>
  <si>
    <t xml:space="preserve">Extension 4 — FINAL</t>
  </si>
  <si>
    <t xml:space="preserve">2/1/2031</t>
  </si>
  <si>
    <t xml:space="preserve">1/31/2036</t>
  </si>
  <si>
    <t xml:space="preserve">Fixed; last contractual period</t>
  </si>
  <si>
    <t xml:space="preserve">AFTER 1/31/2036 — NO LEASE</t>
  </si>
  <si>
    <t xml:space="preserve">2/1/2036</t>
  </si>
  <si>
    <t xml:space="preserve">Purchase/replat or new deal</t>
  </si>
  <si>
    <t xml:space="preserve">NNN ($/yr): CAM $0 + INS $0 + TAXES $28,362 + other $0</t>
  </si>
  <si>
    <t xml:space="preserve">SOP BASIS — FY25 SOP: $428,163 = 21.0% of sales (P7 file) — rent Δ flows 1:1 to SOP. Each +$25K/yr of rent ≈ −1.22 pts of margin. Scenario tester row 'SOP IMPACT' computes pro-forma SOP % live for every plugged rent, including the ROB APPROVED column.</t>
  </si>
  <si>
    <t xml:space="preserve">Under 7.5% threshold (total 4.44% = base 3.05% + NNN/% rent 1.39 pts)</t>
  </si>
  <si>
    <t xml:space="preserve">RENEWAL DEAL WORKSHEET — 28526 — RENEWED to 12/31/31</t>
  </si>
  <si>
    <t xml:space="preserve">CEO SUMMARY — 28526 — RENEWED to 12/31/31</t>
  </si>
  <si>
    <t xml:space="preserve">SOP BASIS: FY25 SOP $496,501 (21.6% of sales) — the scenario tester computes PRO-FORMA SOP % live for every plugged rent, including the ROB APPROVED column. Each +$25K/yr rent ≈ −1.09 pts.</t>
  </si>
  <si>
    <t xml:space="preserve">TB# 28526 — 2430 Carson St., Lakewood, CA [Tier 1]</t>
  </si>
  <si>
    <t xml:space="preserve">Regency Center LLC c/o Robertson Properties</t>
  </si>
  <si>
    <t xml:space="preserve">AS WRITTEN: renewal EXERCISED 12/17/25 (notice on file). Option rent = 108% of prior minimum annual rent per option; 2 options remain after current -&gt; 12/31/2041.</t>
  </si>
  <si>
    <t xml:space="preserve">12/31/2026</t>
  </si>
  <si>
    <t xml:space="preserve">AP ACTUAL (Simeon 8/3): $83,891/yr = $6,990.92/mo — FINANCE VALIDATED. Escalation steps below as written.</t>
  </si>
  <si>
    <t xml:space="preserve">Renewed extension (108%)</t>
  </si>
  <si>
    <t xml:space="preserve">1/1/2027</t>
  </si>
  <si>
    <t xml:space="preserve">12/31/2031</t>
  </si>
  <si>
    <t xml:space="preserve">~$90,602/yr (108% step) — Finance to validate</t>
  </si>
  <si>
    <t xml:space="preserve">Next option (108%)</t>
  </si>
  <si>
    <t xml:space="preserve">1/1/2032</t>
  </si>
  <si>
    <t xml:space="preserve">12/31/2036</t>
  </si>
  <si>
    <t xml:space="preserve">If exercised by 12/31/2030</t>
  </si>
  <si>
    <t xml:space="preserve">ESCALATION CHECK vs ARN DEFAULT PROPOSAL (2% per 5-YR term): LEASE ESCALATES FASTER than 2%/5-yr (~8.0% per period) — the 2% proposal is a REDUCTION ask</t>
  </si>
  <si>
    <t xml:space="preserve">NNN ($/yr): CAM $3,857 + INS $0 + TAXES $17,830 + other $0</t>
  </si>
  <si>
    <t xml:space="preserve">SOP BASIS — FY25 SOP: $496,501 = 21.6% of sales (P7 file) — rent Δ flows 1:1 to SOP. Each +$25K/yr of rent ≈ −1.09 pts of margin. Scenario tester row 'SOP IMPACT' computes pro-forma SOP % live for every plugged rent, including the ROB APPROVED column.</t>
  </si>
  <si>
    <t xml:space="preserve">Under 7.5% threshold (total 4.60% = base 3.65% + NNN/% rent 0.94 pts)</t>
  </si>
  <si>
    <t xml:space="preserve">Recent, adjacent trade area</t>
  </si>
  <si>
    <t xml:space="preserve">Ground lease, 20-yr</t>
  </si>
  <si>
    <t xml:space="preserve">Comparable lot + user</t>
  </si>
  <si>
    <t xml:space="preserve">Vacant DT</t>
  </si>
  <si>
    <t xml:space="preserve">13733 Garfield Ave., Paramount</t>
  </si>
  <si>
    <t xml:space="preserve">ASKING (spec build)</t>
  </si>
  <si>
    <t xml:space="preserve">15,000 SF lot</t>
  </si>
  <si>
    <t xml:space="preserve">YES — DT pad</t>
  </si>
  <si>
    <t xml:space="preserve">Asking, not signed</t>
  </si>
  <si>
    <t xml:space="preserve">RENEWAL DEAL WORKSHEET — 33630 — J.D.-led</t>
  </si>
  <si>
    <t xml:space="preserve">CEO SUMMARY — 33630 — J.D.-led</t>
  </si>
  <si>
    <t xml:space="preserve">SOP BASIS: FY25 SOP $322,766 (15.9% of sales) — the scenario tester computes PRO-FORMA SOP % live for every plugged rent, including the ROB APPROVED column. Each +$25K/yr rent ≈ −1.23 pts.</t>
  </si>
  <si>
    <t xml:space="preserve">TB# 33630 — 1354 W. 190th St., Torrance, CA [Tier 1]</t>
  </si>
  <si>
    <t xml:space="preserve">Kishii Manhattan Ave LLC (David Lansky, Clark Hill)</t>
  </si>
  <si>
    <t xml:space="preserve">AS WRITTEN: $8,662.60/mo through the 25th anniversary, then $9,528.90/mo (+10.0%). In extension period; notice 12/28/2030; path -&gt; 12/29/2035.</t>
  </si>
  <si>
    <t xml:space="preserve">Current (through 25th anniv.)</t>
  </si>
  <si>
    <t xml:space="preserve">~12/28/2030</t>
  </si>
  <si>
    <t xml:space="preserve">AP ACTUAL (Simeon 8/3): $104,957/yr = $8,746.44/mo — FINANCE VALIDATED. Replaces $8,662.60/mo (Δ $+83.84) — Finance governs. Escalation steps below as written.</t>
  </si>
  <si>
    <t xml:space="preserve">Following period</t>
  </si>
  <si>
    <t xml:space="preserve">12/29/2030</t>
  </si>
  <si>
    <t xml:space="preserve">12/29/2035</t>
  </si>
  <si>
    <t xml:space="preserve">Fixed (+10%)</t>
  </si>
  <si>
    <t xml:space="preserve">Beyond 12/29/2035</t>
  </si>
  <si>
    <t xml:space="preserve">Per lease/next negotiation</t>
  </si>
  <si>
    <t xml:space="preserve">NNN ($/yr): CAM $11,460 + INS $0 + TAXES $42,820 + other $0</t>
  </si>
  <si>
    <t xml:space="preserve">SOP BASIS — FY25 SOP: $322,766 = 15.9% of sales (P7 file) — rent Δ flows 1:1 to SOP. Each +$25K/yr of rent ≈ −1.23 pts of margin. Scenario tester row 'SOP IMPACT' computes pro-forma SOP % live for every plugged rent, including the ROB APPROVED column.</t>
  </si>
  <si>
    <t xml:space="preserve">DRIVER: base rent is 5.17% (under 7.5%) — NNN + % rent add 2.67 pts and push TOTAL to 7.84%</t>
  </si>
  <si>
    <t xml:space="preserve">Same city, same user, renewal; 8 yrs old</t>
  </si>
  <si>
    <t xml:space="preserve">Conversion</t>
  </si>
  <si>
    <t xml:space="preserve">Conversion deal; 6 yrs old</t>
  </si>
  <si>
    <t xml:space="preserve">Rico's Tacos</t>
  </si>
  <si>
    <t xml:space="preserve">2150 W. El Segundo Blvd., Gardena</t>
  </si>
  <si>
    <t xml:space="preserve">2017</t>
  </si>
  <si>
    <t xml:space="preserve">CoStar comp, terms unavailable</t>
  </si>
  <si>
    <t xml:space="preserve">Closest to 190th St. but 9 yrs old, terms unknown</t>
  </si>
  <si>
    <t xml:space="preserve">RENEWAL DEAL WORKSHEET — 33629 — open item; NO ABSTRACT</t>
  </si>
  <si>
    <t xml:space="preserve">CEO SUMMARY — 33629 — open item; NO ABSTRACT</t>
  </si>
  <si>
    <t xml:space="preserve">SOP BASIS: FY25 SOP $28,541 (2.2% of sales) — the scenario tester computes PRO-FORMA SOP % live for every plugged rent, including the ROB APPROVED column. Each +$25K/yr rent ≈ −1.92 pts.</t>
  </si>
  <si>
    <t xml:space="preserve">TB# 33629 — 1301 W. Artesia Blvd., Gardena, CA [Tier 1 · SOP 0.5%]</t>
  </si>
  <si>
    <t xml:space="preserve">LL counsel: Eden Anderson, Duane Morris</t>
  </si>
  <si>
    <t xml:space="preserve">NO ABSTRACT in the 7/31 set — J.D. to supply. Tracker ask: engage to discuss options to extend; LL comments received on extension discussions. Store is near break-even (SOP 0.5% YTD) — extension economics matter more here than anywhere.</t>
  </si>
  <si>
    <t xml:space="preserve">TBD</t>
  </si>
  <si>
    <t xml:space="preserve">AP ACTUAL (Simeon 8/3): $129,067/yr = $10,755.61/mo — FINANCE VALIDATED. Escalation steps below as written.</t>
  </si>
  <si>
    <t xml:space="preserve">NNN ($/yr): CAM $0 + INS $0 + TAXES $26,331 + other $0</t>
  </si>
  <si>
    <t xml:space="preserve">SOP BASIS — FY25 SOP: $28,541 = 2.2% of sales (P7 file) — rent Δ flows 1:1 to SOP. Each +$25K/yr of rent ≈ −1.92 pts of margin. Scenario tester row 'SOP IMPACT' computes pro-forma SOP % live for every plugged rent, including the ROB APPROVED column.</t>
  </si>
  <si>
    <t xml:space="preserve">DRIVER: BASE RENT ALONE is &gt;= 7.5% (9.92%) — rent is the problem, NNN adds 2.02 pts on top</t>
  </si>
  <si>
    <t xml:space="preserve">CoStar comp</t>
  </si>
  <si>
    <t xml:space="preserve">Same city; 9 yrs old</t>
  </si>
  <si>
    <t xml:space="preserve">Nearby city, renewal, dated</t>
  </si>
  <si>
    <t xml:space="preserve">RENEWAL DEAL WORKSHEET — 31991 — proposal w/ Rob (approval expected)</t>
  </si>
  <si>
    <t xml:space="preserve">CEO SUMMARY — 31991 — proposal w/ Rob (approval expected)</t>
  </si>
  <si>
    <t xml:space="preserve">SOP BASIS: FY25 NI-before-occupancy (ALBOR) $773,740 (30.1% of sales) — the scenario tester computes PRO-FORMA SOP % live for every plugged rent, including the ROB APPROVED column. Each +$25K/yr rent ≈ −0.97 pts.</t>
  </si>
  <si>
    <t xml:space="preserve">TB# 31991 — 11011 W. National Ave., West Allis, WI [Tier 1]</t>
  </si>
  <si>
    <t xml:space="preserve">Judith F. Christiaansen (successor to Jon Christiaansen), Muskego, WI</t>
  </si>
  <si>
    <t xml:space="preserve">AS WRITTEN: 1993 ground lease; every historical step exactly 8.0% per 5-yr period. Current term to 4/30/2028 at $4,628.38/mo; ONE option remains (5/1/28-4/30/33 at $4,998.65 fixed). SUBMITTED proposal: exercise final option + add 4 new options at 8%/period -&gt; control to 4/30/2053.</t>
  </si>
  <si>
    <t xml:space="preserve">Current period (yrs 31-35)</t>
  </si>
  <si>
    <t xml:space="preserve">5/1/2023</t>
  </si>
  <si>
    <t xml:space="preserve">4/30/2028</t>
  </si>
  <si>
    <t xml:space="preserve">AP ACTUAL (Simeon 8/3): $55,541/yr = $4,628.38/mo — FINANCE VALIDATED. Escalation steps below as written.</t>
  </si>
  <si>
    <t xml:space="preserve">Final existing option</t>
  </si>
  <si>
    <t xml:space="preserve">5/1/2028</t>
  </si>
  <si>
    <t xml:space="preserve">4/30/2033</t>
  </si>
  <si>
    <t xml:space="preserve">Fixed in lease (+8.0%)</t>
  </si>
  <si>
    <t xml:space="preserve">Proposed New Option 1</t>
  </si>
  <si>
    <t xml:space="preserve">5/1/2033</t>
  </si>
  <si>
    <t xml:space="preserve">4/30/2038</t>
  </si>
  <si>
    <t xml:space="preserve">Per submitted proposal (+8.0%) — pending Rob/LL execution</t>
  </si>
  <si>
    <t xml:space="preserve">NNN ($/yr): CAM $0 + INS $0 + TAXES $33,466 + other $0</t>
  </si>
  <si>
    <t xml:space="preserve">SOP BASIS — FY25 NI BEFORE OCCUPANCY (ALBOR): $773,740 — pro-forma NI = NIBO minus scenario all-in rent. Each +$25K/yr of rent ≈ −0.97 pts of margin. Scenario tester row 'SOP IMPACT' computes pro-forma SOP % live for every plugged rent, including the ROB APPROVED column.</t>
  </si>
  <si>
    <t xml:space="preserve">Under 7.5% threshold (total 3.50% = base 2.19% + NNN/% rent 1.32 pts)</t>
  </si>
  <si>
    <t xml:space="preserve">KFC</t>
  </si>
  <si>
    <t xml:space="preserve">2860 S. 108th St., West Allis</t>
  </si>
  <si>
    <t xml:space="preserve">Current rent</t>
  </si>
  <si>
    <t xml:space="preserve">2,743 SF bldg</t>
  </si>
  <si>
    <t xml:space="preserve">Broker: "identical comparison," 0.25 mi</t>
  </si>
  <si>
    <t xml:space="preserve">10743 W. National Ave., West Allis</t>
  </si>
  <si>
    <t xml:space="preserve">3,349 SF bldg</t>
  </si>
  <si>
    <t xml:space="preserve">Broker: "identical comparison," 0.13 mi — same street</t>
  </si>
  <si>
    <t xml:space="preserve">2645 S. 108th St., West Allis</t>
  </si>
  <si>
    <t xml:space="preserve">2016</t>
  </si>
  <si>
    <t xml:space="preserve">Original ground lease</t>
  </si>
  <si>
    <t xml:space="preserve">4,877 SF bldg</t>
  </si>
  <si>
    <t xml:space="preserve">10 yrs old; larger bldg</t>
  </si>
  <si>
    <t xml:space="preserve">Chase Bank</t>
  </si>
  <si>
    <t xml:space="preserve">2678 S. 108th St., West Allis</t>
  </si>
  <si>
    <t xml:space="preserve">Former Boston Market conversion</t>
  </si>
  <si>
    <t xml:space="preserve">2,798 SF bldg</t>
  </si>
  <si>
    <t xml:space="preserve">NO — bank branch</t>
  </si>
  <si>
    <t xml:space="preserve">Different user economics</t>
  </si>
  <si>
    <t xml:space="preserve">Dunkin</t>
  </si>
  <si>
    <t xml:space="preserve">2865 S. 108th St., West Allis</t>
  </si>
  <si>
    <t xml:space="preserve">Endcap lease</t>
  </si>
  <si>
    <t xml:space="preserve">2,200 SF</t>
  </si>
  <si>
    <t xml:space="preserve">NO — endcap, not freestanding</t>
  </si>
  <si>
    <t xml:space="preserve">Not a freestanding DT pad</t>
  </si>
  <si>
    <t xml:space="preserve">RENEWAL DEAL WORKSHEET — 31994 — SECURE; options auto-exercise</t>
  </si>
  <si>
    <t xml:space="preserve">CEO SUMMARY — 31994 — SECURE; options auto-exercise</t>
  </si>
  <si>
    <t xml:space="preserve">SOP BASIS: FY25 NI-before-occupancy (ALBOR) $507,978 (29.1% of sales) — the scenario tester computes PRO-FORMA SOP % live for every plugged rent, including the ROB APPROVED column. Each +$25K/yr rent ≈ −1.43 pts.</t>
  </si>
  <si>
    <t xml:space="preserve">TB# 31994 — 3334 S. 27th St., Milwaukee, WI [Tier 1 · HVAC]</t>
  </si>
  <si>
    <t xml:space="preserve">Gus &amp; Alexandria Giannapoulos (rent paid to Dennis Giannapoulos)</t>
  </si>
  <si>
    <t xml:space="preserve">AS WRITTEN: 2006 ground lease; every step exactly 10.0%/5-yr, FIXED. 4 options AUTO-EXERCISE unless ARN gives 6-mo notice (opt-out est. ~12/31/2026). Net lease (taxes+ins). ROFO if LL sells. Site control to ~2047 with NO negotiation.</t>
  </si>
  <si>
    <t xml:space="preserve">Current (yrs 16-20)</t>
  </si>
  <si>
    <t xml:space="preserve">~2022</t>
  </si>
  <si>
    <t xml:space="preserve">~mid-2027</t>
  </si>
  <si>
    <t xml:space="preserve">AP ACTUAL (Simeon 8/3): $79,860/yr = $6,655.00/mo — FINANCE VALIDATED. Escalation steps below as written.</t>
  </si>
  <si>
    <t xml:space="preserve">Option 1 — AUTO</t>
  </si>
  <si>
    <t xml:space="preserve">~mid-2032</t>
  </si>
  <si>
    <t xml:space="preserve">Option 2 — AUTO</t>
  </si>
  <si>
    <t xml:space="preserve">~mid-2037</t>
  </si>
  <si>
    <t xml:space="preserve">NNN ($/yr): CAM $0 + INS $0 + TAXES $0 + other $0</t>
  </si>
  <si>
    <t xml:space="preserve">SOP BASIS — FY25 NI BEFORE OCCUPANCY (ALBOR): $507,978 — pro-forma NI = NIBO minus scenario all-in rent. Each +$25K/yr of rent ≈ −1.43 pts of margin. Scenario tester row 'SOP IMPACT' computes pro-forma SOP % live for every plugged rent, including the ROB APPROVED column.</t>
  </si>
  <si>
    <t xml:space="preserve">Under 7.5% threshold (total 4.63% = base 4.63% + NNN/% rent 0.00 pts)</t>
  </si>
  <si>
    <t xml:space="preserve">RENEWAL DEAL WORKSHEET — 32700 — auto-renews</t>
  </si>
  <si>
    <t xml:space="preserve">CEO SUMMARY — 32700 — auto-renews</t>
  </si>
  <si>
    <t xml:space="preserve">SOP BASIS: FY25 SOP $1,101,829 (35.3% of sales) — the scenario tester computes PRO-FORMA SOP % live for every plugged rent, including the ROB APPROVED column. Each +$25K/yr rent ≈ −0.80 pts.</t>
  </si>
  <si>
    <t xml:space="preserve">TB# 32700 — 2829 N. Prince St., Clovis, NM [Tier 2]</t>
  </si>
  <si>
    <t xml:space="preserve">FCPT Holdings, LLC</t>
  </si>
  <si>
    <t xml:space="preserve">AS WRITTEN: auto-renewal; 1 extension remains -&gt; 5/16/2034 (notice NOT to renew due 11/16/2028). $2,835/mo current period; $3,119/mo 2029-34 (+10%). FLAG: two conflicting commencement dates in file.</t>
  </si>
  <si>
    <t xml:space="preserve">5/16/2029</t>
  </si>
  <si>
    <t xml:space="preserve">AP ACTUAL (Simeon 8/3): $34,020/yr = $2,835.00/mo — FINANCE VALIDATED. Escalation steps below as written.</t>
  </si>
  <si>
    <t xml:space="preserve">Final extension</t>
  </si>
  <si>
    <t xml:space="preserve">5/17/2029</t>
  </si>
  <si>
    <t xml:space="preserve">5/16/2034</t>
  </si>
  <si>
    <t xml:space="preserve">Fixed (+10%); auto unless opted out</t>
  </si>
  <si>
    <t xml:space="preserve">AFTER 5/16/2034 — NO LEASE</t>
  </si>
  <si>
    <t xml:space="preserve">New deal required</t>
  </si>
  <si>
    <t xml:space="preserve">NNN ($/yr): CAM $1,754 + INS $0 + TAXES $5,200 + other $0</t>
  </si>
  <si>
    <t xml:space="preserve">SOP BASIS — FY25 SOP: $1,101,829 = 35.3% of sales (P7 file) — rent Δ flows 1:1 to SOP. Each +$25K/yr of rent ≈ −0.80 pts of margin. Scenario tester row 'SOP IMPACT' computes pro-forma SOP % live for every plugged rent, including the ROB APPROVED column.</t>
  </si>
  <si>
    <t xml:space="preserve">Under 7.5% threshold (total 1.31% = base 1.09% + NNN/% rent 0.22 pts)</t>
  </si>
  <si>
    <t xml:space="preserve">RENEWAL DEAL WORKSHEET — 33867 — terminate-notice 7/28/27</t>
  </si>
  <si>
    <t xml:space="preserve">CEO SUMMARY — 33867 — terminate-notice 7/28/27</t>
  </si>
  <si>
    <t xml:space="preserve">SOP BASIS: FY25 SOP $697,700 (29.6% of sales) — the scenario tester computes PRO-FORMA SOP % live for every plugged rent, including the ROB APPROVED column. Each +$25K/yr rent ≈ −1.06 pts.</t>
  </si>
  <si>
    <t xml:space="preserve">TB# 33867 — 1220 E. 1st Ave., Broomfield, CO [Tier 2]</t>
  </si>
  <si>
    <t xml:space="preserve">BTC Retail Developers LLC (Bake Larson)</t>
  </si>
  <si>
    <t xml:space="preserve">AS WRITTEN: current term to 1/28/2028 at $6,442/mo; options $7,086 (2028-33) and $7,795 (2033-38) — ~+10%/step. Notice to terminate due 7/28/2027; 1x10-yr + 2x5-yr structure.</t>
  </si>
  <si>
    <t xml:space="preserve">1/28/2028</t>
  </si>
  <si>
    <t xml:space="preserve">AP ACTUAL (Simeon 8/3): $77,304/yr = $6,442.00/mo — FINANCE VALIDATED. Escalation steps below as written.</t>
  </si>
  <si>
    <t xml:space="preserve">Option (2028-33)</t>
  </si>
  <si>
    <t xml:space="preserve">1/29/2028</t>
  </si>
  <si>
    <t xml:space="preserve">1/28/2033</t>
  </si>
  <si>
    <t xml:space="preserve">Fixed</t>
  </si>
  <si>
    <t xml:space="preserve">Option (2033-38)</t>
  </si>
  <si>
    <t xml:space="preserve">1/29/2033</t>
  </si>
  <si>
    <t xml:space="preserve">1/1/2038</t>
  </si>
  <si>
    <t xml:space="preserve">NNN ($/yr): CAM $2,772 + INS $0 + TAXES $28,210 + other $0</t>
  </si>
  <si>
    <t xml:space="preserve">SOP BASIS — FY25 SOP: $697,700 = 29.6% of sales (P7 file) — rent Δ flows 1:1 to SOP. Each +$25K/yr of rent ≈ −1.06 pts of margin. Scenario tester row 'SOP IMPACT' computes pro-forma SOP % live for every plugged rent, including the ROB APPROVED column.</t>
  </si>
  <si>
    <t xml:space="preserve">Under 7.5% threshold (total 4.58% = base 3.27% + NNN/% rent 1.31 pts)</t>
  </si>
  <si>
    <t xml:space="preserve">1280 E. 1st Ave., Broomfield</t>
  </si>
  <si>
    <t xml:space="preserve">Mar 2024</t>
  </si>
  <si>
    <t xml:space="preserve">New 10-yr, $28/SF</t>
  </si>
  <si>
    <t xml:space="preserve">8,500 SF bldg</t>
  </si>
  <si>
    <t xml:space="preserve">NO — full-service restaurant</t>
  </si>
  <si>
    <t xml:space="preserve">Same street + recent, but 8,500 SF full-service — wrong size class for a QSR pad</t>
  </si>
  <si>
    <t xml:space="preserve">Raising Cane's (land)</t>
  </si>
  <si>
    <t xml:space="preserve">4640 W. 121st St., Broomfield</t>
  </si>
  <si>
    <t xml:space="preserve">2018</t>
  </si>
  <si>
    <t xml:space="preserve">LAND SALE $2.0M</t>
  </si>
  <si>
    <t xml:space="preserve">.91 ac</t>
  </si>
  <si>
    <t xml:space="preserve">RENEWAL DEAL WORKSHEET — 33851 — RENEWED to 7/31/31</t>
  </si>
  <si>
    <t xml:space="preserve">CEO SUMMARY — 33851 — RENEWED to 7/31/31</t>
  </si>
  <si>
    <t xml:space="preserve">SOP BASIS: FY25 SOP $723,674 (21.5% of sales) — the scenario tester computes PRO-FORMA SOP % live for every plugged rent, including the ROB APPROVED column. Each +$25K/yr rent ≈ −0.74 pts.</t>
  </si>
  <si>
    <t xml:space="preserve">TB# 33851 — 1775 E. Colfax Ave., Denver, CO [Tier 2]</t>
  </si>
  <si>
    <t xml:space="preserve">1775 E. Colfax Avenue, LLC (Thomas Jakobson, NY)</t>
  </si>
  <si>
    <t xml:space="preserve">AS WRITTEN: 1972 lease as amended; option EXERCISED 4/16/26 (notice on file) — renewed term 8/1/2026-7/31/2031. Annual ~3% steps per schedule ($7,761.12 -&gt; $9,267.18 by 2032-33). 1 extension remains -&gt; 7/31/2036. FLAG: Second Amendment missing from file.</t>
  </si>
  <si>
    <t xml:space="preserve">Renewed yr 1</t>
  </si>
  <si>
    <t xml:space="preserve">8/1/2026</t>
  </si>
  <si>
    <t xml:space="preserve">7/31/2027</t>
  </si>
  <si>
    <t xml:space="preserve">AP ACTUAL (Simeon 8/3): $90,421/yr = $7,535.07/mo — FINANCE VALIDATED. Replaces $7,761.12/mo (Δ $-226.05) — Finance governs. Escalation steps below as written.</t>
  </si>
  <si>
    <t xml:space="preserve">Renewed yr 2</t>
  </si>
  <si>
    <t xml:space="preserve">8/1/2027</t>
  </si>
  <si>
    <t xml:space="preserve">7/31/2028</t>
  </si>
  <si>
    <t xml:space="preserve">Per schedule (~+3%)</t>
  </si>
  <si>
    <t xml:space="preserve">Renewed yrs 3-5</t>
  </si>
  <si>
    <t xml:space="preserve">8/1/2028</t>
  </si>
  <si>
    <t xml:space="preserve">7/31/2031</t>
  </si>
  <si>
    <t xml:space="preserve">AVG of scheduled ~3%/yr steps</t>
  </si>
  <si>
    <t xml:space="preserve">Final extension (if exercised)</t>
  </si>
  <si>
    <t xml:space="preserve">8/1/2031</t>
  </si>
  <si>
    <t xml:space="preserve">7/31/2036</t>
  </si>
  <si>
    <t xml:space="preserve">AVG; schedule continues ~3%/yr</t>
  </si>
  <si>
    <t xml:space="preserve">ESCALATION CHECK vs ARN DEFAULT PROPOSAL (2% per 5-YR term): LEASE ESCALATES FASTER than 2%/5-yr (~9.3% per period) — the 2% proposal is a REDUCTION ask</t>
  </si>
  <si>
    <t xml:space="preserve">NNN ($/yr): CAM $0 + INS $0 + TAXES $40,170 + other $0</t>
  </si>
  <si>
    <t xml:space="preserve">SOP BASIS — FY25 SOP: $723,674 = 21.5% of sales (P7 file) — rent Δ flows 1:1 to SOP. Each +$25K/yr of rent ≈ −0.74 pts of margin. Scenario tester row 'SOP IMPACT' computes pro-forma SOP % live for every plugged rent, including the ROB APPROVED column.</t>
  </si>
  <si>
    <t xml:space="preserve">Under 7.5% threshold (total 3.87% = base 2.68% + NNN/% rent 1.19 pts)</t>
  </si>
  <si>
    <t xml:space="preserve">5454 E. Colfax Ave., Denver</t>
  </si>
  <si>
    <t xml:space="preserve">Apr 2025</t>
  </si>
  <si>
    <t xml:space="preserve">New 10-yr</t>
  </si>
  <si>
    <t xml:space="preserve">2,175 SF bldg</t>
  </si>
  <si>
    <t xml:space="preserve">.39 ac</t>
  </si>
  <si>
    <t xml:space="preserve">YES — QSR (former)</t>
  </si>
  <si>
    <t xml:space="preserve">Same corridor, recent, right size class — only comp returned</t>
  </si>
  <si>
    <t xml:space="preserve">RENEWAL DEAL WORKSHEET — 33847 — file assembled; step corrected</t>
  </si>
  <si>
    <t xml:space="preserve">CEO SUMMARY — 33847 — file assembled; step corrected</t>
  </si>
  <si>
    <t xml:space="preserve">SOP BASIS: FY25 SOP $670,232 (23.1% of sales) — the scenario tester computes PRO-FORMA SOP % live for every plugged rent, including the ROB APPROVED column. Each +$25K/yr rent ≈ −0.86 pts.</t>
  </si>
  <si>
    <t xml:space="preserve">TB# 33847 — 1265 S. Colorado Blvd., Denver, CO [Tier 2]</t>
  </si>
  <si>
    <t xml:space="preserve">Lyda Conway Revocable Trust / Conway Family (Karen Goldberg)</t>
  </si>
  <si>
    <t xml:space="preserve">AS WRITTEN: current 8/1/25-7/31/30 at $10,980.75/mo; next $12,078.83 (+10%). CORRECTIONS (Kathy 8/4): file assembled — abstract updated with applicable documents; final step CORRECTED to $14,615.38 (increases, no decreasing anomaly). 3 ext remain -&gt; 7/31/2045; notice 5/2/2029.</t>
  </si>
  <si>
    <t xml:space="preserve">8/1/2025</t>
  </si>
  <si>
    <t xml:space="preserve">7/31/2030</t>
  </si>
  <si>
    <t xml:space="preserve">AP ACTUAL (Simeon 8/3): $131,769/yr = $10,980.75/mo — FINANCE VALIDATED. Escalation steps below as written.</t>
  </si>
  <si>
    <t xml:space="preserve">Next extension</t>
  </si>
  <si>
    <t xml:space="preserve">8/1/2030</t>
  </si>
  <si>
    <t xml:space="preserve">7/31/2035</t>
  </si>
  <si>
    <t xml:space="preserve">Following extension</t>
  </si>
  <si>
    <t xml:space="preserve">8/1/2035</t>
  </si>
  <si>
    <t xml:space="preserve">7/31/2040</t>
  </si>
  <si>
    <t xml:space="preserve">Fixed step; final step thereafter $14,615.38 (CORRECTED per Kathy 8/4)</t>
  </si>
  <si>
    <t xml:space="preserve">NNN ($/yr): CAM $0 + INS $0 + TAXES $51,740 + other $0</t>
  </si>
  <si>
    <t xml:space="preserve">SOP BASIS — FY25 SOP: $670,232 = 23.1% of sales (P7 file) — rent Δ flows 1:1 to SOP. Each +$25K/yr of rent ≈ −0.86 pts of margin. Scenario tester row 'SOP IMPACT' computes pro-forma SOP % live for every plugged rent, including the ROB APPROVED column.</t>
  </si>
  <si>
    <t xml:space="preserve">Under 7.5% threshold (total 6.32% = base 4.54% + NNN/% rent 1.78 pts)</t>
  </si>
  <si>
    <t xml:space="preserve">999 S. Colorado Blvd., Denver</t>
  </si>
  <si>
    <t xml:space="preserve">NO — car wash</t>
  </si>
  <si>
    <t xml:space="preserve">Same blvd + current year, but car-wash economics</t>
  </si>
  <si>
    <t xml:space="preserve">S. Colorado Blvd., Denver</t>
  </si>
  <si>
    <t xml:space="preserve">2026 (died)</t>
  </si>
  <si>
    <t xml:space="preserve">AGREED $300K — deal died (stacking)</t>
  </si>
  <si>
    <t xml:space="preserve">Evidence of market level; never executed</t>
  </si>
  <si>
    <t xml:space="preserve">Black Rock Coffee (fmr Arby's)</t>
  </si>
  <si>
    <t xml:space="preserve">2096 S. Colorado Blvd., Denver</t>
  </si>
  <si>
    <t xml:space="preserve">Jun 2025</t>
  </si>
  <si>
    <t xml:space="preserve">3,013 SF bldg</t>
  </si>
  <si>
    <t xml:space="preserve">Same blvd, recent, right size class</t>
  </si>
  <si>
    <t xml:space="preserve">RENEWAL DEAL WORKSHEET — 33850-35850 — reconcile store# / address</t>
  </si>
  <si>
    <t xml:space="preserve">CEO SUMMARY — 33850-35850 — reconcile store# / address</t>
  </si>
  <si>
    <t xml:space="preserve">SOP BASIS: FY25 SOP $797,010 (26.0% of sales) — the scenario tester computes PRO-FORMA SOP % live for every plugged rent, including the ROB APPROVED column. Each +$25K/yr rent ≈ −0.82 pts.</t>
  </si>
  <si>
    <t xml:space="preserve">TB# 33850 (portfolio: 35850) — 8965 (or 8695) E. Arapahoe Rd., Greenwood Village, CO [Tier 2]</t>
  </si>
  <si>
    <t xml:space="preserve">Kristopher &amp; Kathleen H. Saline Family Trust (Kris Saline)</t>
  </si>
  <si>
    <t xml:space="preserve">AS WRITTEN: current term to 10/10/2026; notice date 4/10/2026 passed but lease AUTO-EXTENDS unless LL notified. Option rents from 10/11/2031: $11,000 -&gt; $14,420/mo (~+10%/5-yr) -&gt; 10/10/2051. FLAGS: First Amendment MISSING (2026-31 rate unknown); store #/address discrepancy vs. portfolio; sales not in P6/P7 file.</t>
  </si>
  <si>
    <t xml:space="preserve">10/10/2026</t>
  </si>
  <si>
    <t xml:space="preserve">AP ACTUAL (Simeon 8/3): $113,760/yr = $9,480.00/mo — FINANCE VALIDATED. Escalation steps below as written.</t>
  </si>
  <si>
    <t xml:space="preserve">10/11/2026-10/10/2031</t>
  </si>
  <si>
    <t xml:space="preserve">10/11/2026</t>
  </si>
  <si>
    <t xml:space="preserve">10/10/2031</t>
  </si>
  <si>
    <t xml:space="preserve">RATE UNKNOWN — in the MISSING First Amendment</t>
  </si>
  <si>
    <t xml:space="preserve">Option period</t>
  </si>
  <si>
    <t xml:space="preserve">10/11/2031</t>
  </si>
  <si>
    <t xml:space="preserve">10/10/2036</t>
  </si>
  <si>
    <t xml:space="preserve">Per abstract</t>
  </si>
  <si>
    <t xml:space="preserve">RENEWAL DEAL WORKSHEET — 33852 — On Hold; step 12/2/26</t>
  </si>
  <si>
    <t xml:space="preserve">CEO SUMMARY — 33852 — On Hold; step 12/2/26</t>
  </si>
  <si>
    <t xml:space="preserve">SOP BASIS: FY25 SOP $973,762 (27.8% of sales) — the scenario tester computes PRO-FORMA SOP % live for every plugged rent, including the ROB APPROVED column. Each +$25K/yr rent ≈ −0.71 pts.</t>
  </si>
  <si>
    <t xml:space="preserve">TB# 33852 — 2450 Baseline Rd., Boulder, CO [Tier 2 · On Hold]</t>
  </si>
  <si>
    <t xml:space="preserve">Skunk Creek Investors LLP (Erik Swanson)</t>
  </si>
  <si>
    <t xml:space="preserve">AS WRITTEN: current $8,916.66/mo to 12/2/2026, then $10,000.00 (12/3/26-12/2/31), then $10,833.33 -&gt; 12/2/2036; 2 extensions remain. Strong store (30%+ SOP) — On-Hold decision is reactivation.</t>
  </si>
  <si>
    <t xml:space="preserve">12/3/2021</t>
  </si>
  <si>
    <t xml:space="preserve">12/2/2026</t>
  </si>
  <si>
    <t xml:space="preserve">AP ACTUAL (Simeon 8/3): $107,000/yr = $8,916.66/mo — FINANCE VALIDATED. Escalation steps below as written.</t>
  </si>
  <si>
    <t xml:space="preserve">Next period</t>
  </si>
  <si>
    <t xml:space="preserve">12/3/2026</t>
  </si>
  <si>
    <t xml:space="preserve">12/2/2031</t>
  </si>
  <si>
    <t xml:space="preserve">Fixed step (+12.2%)</t>
  </si>
  <si>
    <t xml:space="preserve">12/3/2031</t>
  </si>
  <si>
    <t xml:space="preserve">12/2/2036</t>
  </si>
  <si>
    <t xml:space="preserve">Fixed (+8.3%)</t>
  </si>
  <si>
    <t xml:space="preserve">ESCALATION CHECK vs ARN DEFAULT PROPOSAL (2% per 5-YR term): LEASE ESCALATES FASTER than 2%/5-yr (~8.3% per period) — the 2% proposal is a REDUCTION ask</t>
  </si>
  <si>
    <t xml:space="preserve">NNN ($/yr): CAM $0 + INS $0 + TAXES $22,750 + other $0</t>
  </si>
  <si>
    <t xml:space="preserve">SOP BASIS — FY25 SOP: $973,762 = 27.8% of sales (P7 file) — rent Δ flows 1:1 to SOP. Each +$25K/yr of rent ≈ −0.71 pts of margin. Scenario tester row 'SOP IMPACT' computes pro-forma SOP % live for every plugged rent, including the ROB APPROVED column.</t>
  </si>
  <si>
    <t xml:space="preserve">Under 7.5% threshold (total 3.71% = base 3.06% + NNN/% rent 0.65 pts)</t>
  </si>
  <si>
    <t xml:space="preserve">Undisclosed (1 ac)</t>
  </si>
  <si>
    <t xml:space="preserve">28th &amp; Valmont, Boulder</t>
  </si>
  <si>
    <t xml:space="preserve">Unknown user</t>
  </si>
  <si>
    <t xml:space="preserve">Current-year Boulder deal; user undisclosed</t>
  </si>
  <si>
    <t xml:space="preserve">Undisclosed (1/2 ac)</t>
  </si>
  <si>
    <t xml:space="preserve">0.5 ac</t>
  </si>
  <si>
    <t xml:space="preserve">Half-size lot; current year</t>
  </si>
  <si>
    <t xml:space="preserve">Hwy 287 &amp; Arapahoe</t>
  </si>
  <si>
    <t xml:space="preserve">Suburban Safeway center; different user</t>
  </si>
  <si>
    <t xml:space="preserve">RENEWAL DEAL WORKSHEET — 35881 — Amarillo</t>
  </si>
  <si>
    <t xml:space="preserve">CEO SUMMARY — 35881 — Amarillo</t>
  </si>
  <si>
    <t xml:space="preserve">SOP BASIS: FY25 SOP $735,430 (31.2% of sales) — the scenario tester computes PRO-FORMA SOP % live for every plugged rent, including the ROB APPROVED column. Each +$25K/yr rent ≈ −1.06 pts.</t>
  </si>
  <si>
    <t xml:space="preserve">TB# 35881 — 5807 SW 45th Ave., Amarillo, TX [Tier 2]</t>
  </si>
  <si>
    <t xml:space="preserve">Gordon Bell Plaza, LP (Steve Cassolini)</t>
  </si>
  <si>
    <t xml:space="preserve">AS WRITTEN: current 2025-30 at $12,304.29/mo; steps $13,534.72 (2030-35), $14,888.19 (2035-40) — +10%/5-yr. Notice 4/3/2030. Deposit $10,209.14. Tracker alternative under discussion: 2x5-yr options vs. 1x10-yr.</t>
  </si>
  <si>
    <t xml:space="preserve">9/30/2030</t>
  </si>
  <si>
    <t xml:space="preserve">AP ACTUAL (Simeon 8/3): $134,229/yr = $11,185.72/mo — FINANCE VALIDATED. Replaces $12,304.29/mo (Δ $-1,118.57) — Finance governs. Escalation steps below as written.</t>
  </si>
  <si>
    <t xml:space="preserve">10/1/2030</t>
  </si>
  <si>
    <t xml:space="preserve">9/30/2035</t>
  </si>
  <si>
    <t xml:space="preserve">10/1/2035</t>
  </si>
  <si>
    <t xml:space="preserve">9/30/2040</t>
  </si>
  <si>
    <t xml:space="preserve">NNN ($/yr): CAM $8,520 + INS $0 + TAXES $4,754 + other $0</t>
  </si>
  <si>
    <t xml:space="preserve">SOP BASIS — FY25 SOP: $735,430 = 31.2% of sales (P7 file) — rent Δ flows 1:1 to SOP. Each +$25K/yr of rent ≈ −1.06 pts of margin. Scenario tester row 'SOP IMPACT' computes pro-forma SOP % live for every plugged rent, including the ROB APPROVED column.</t>
  </si>
  <si>
    <t xml:space="preserve">Under 7.5% threshold (total 6.24% = base 5.68% + NNN/% rent 0.56 pts)</t>
  </si>
  <si>
    <t xml:space="preserve">RENEWAL DEAL WORKSHEET — 3052 — auto-renews; LL in probate</t>
  </si>
  <si>
    <t xml:space="preserve">CEO SUMMARY — 3052 — auto-renews; LL in probate</t>
  </si>
  <si>
    <t xml:space="preserve">SOP BASIS: FY25 SOP $344,745 (16.9% of sales) — the scenario tester computes PRO-FORMA SOP % live for every plugged rent, including the ROB APPROVED column. Each +$25K/yr rent ≈ −1.23 pts.</t>
  </si>
  <si>
    <t xml:space="preserve">TB# 3052 — 5406 Whittier Blvd., Los Angeles, CA [Tier 1]</t>
  </si>
  <si>
    <t xml:space="preserve">James M. Fox estate (probate) / Lucy Fox, M.D.</t>
  </si>
  <si>
    <t xml:space="preserve">AS WRITTEN: base rent GREATER OF $9,200/mo or CPI increase, + 6% PERCENTAGE RENT in extension terms. Ext steps: $11,500 -&gt; $13,500 -&gt; $15,525 -&gt; $17,860/mo (irregular, ~+15-17%/5-yr) -&gt; 10/31/2051. Auto-renews per J.D.; negotiation continues through probate. NOTE: percentage rent means true occupancy exceeds base — Finance to quantify.</t>
  </si>
  <si>
    <t xml:space="preserve">Current (interim/base)</t>
  </si>
  <si>
    <t xml:space="preserve">10/31/2031</t>
  </si>
  <si>
    <t xml:space="preserve">AP ACTUAL (Simeon 8/3): $96,000/yr = $8,000.00/mo — FINANCE VALIDATED. Replaces $9,200.00/mo (Δ $-1,200.00) — Finance governs. Escalation steps below as written.</t>
  </si>
  <si>
    <t xml:space="preserve">First extension</t>
  </si>
  <si>
    <t xml:space="preserve">11/1/2031</t>
  </si>
  <si>
    <t xml:space="preserve">10/31/2036</t>
  </si>
  <si>
    <t xml:space="preserve">Plus 6% percentage rent</t>
  </si>
  <si>
    <t xml:space="preserve">ESCALATION CHECK vs ARN DEFAULT PROPOSAL (2% per 5-YR term): LEASE ESCALATES FASTER than 2%/5-yr (~25.0% per period) — the 2% proposal is a REDUCTION ask</t>
  </si>
  <si>
    <t xml:space="preserve">NNN ($/yr): CAM $0 + INS $0 + TAXES $22,436 + other $0</t>
  </si>
  <si>
    <t xml:space="preserve">SOP BASIS — FY25 SOP: $344,745 = 16.9% of sales (P7 file) — rent Δ flows 1:1 to SOP. Each +$25K/yr of rent ≈ −1.23 pts of margin. Scenario tester row 'SOP IMPACT' computes pro-forma SOP % live for every plugged rent, including the ROB APPROVED column.</t>
  </si>
  <si>
    <t xml:space="preserve">DRIVER: base rent is 4.71% (under 7.5%) — NNN + % rent add 2.81 pts and push TOTAL to 7.51%</t>
  </si>
  <si>
    <t xml:space="preserve">6% per abstract (TEMP — orange). Abstract ties % rent to EXTENSION terms, not the current interim term — J.D. to confirm current-term applicability and whether the 6% is over a natural breakpoint or gross sales.</t>
  </si>
  <si>
    <t xml:space="preserve">Abstract states "with a Percentage Rent of 6%" on each extension term (11/1/2031 forward) — NO $ breakpoint stated in abstract</t>
  </si>
  <si>
    <t xml:space="preserve">CAUTION: if 6% applies to GROSS sales (no breakpoint), % rent at $2.04M sales = ~$122K/yr — dwarfs base rent. Natural-breakpoint reading shown here until J.D. confirms the clause.</t>
  </si>
  <si>
    <t xml:space="preserve">11814 Whittier Blvd., Whittier</t>
  </si>
  <si>
    <t xml:space="preserve">Ground lease 15-yr, 3x5 options</t>
  </si>
  <si>
    <t xml:space="preserve">46,609 SF lot</t>
  </si>
  <si>
    <t xml:space="preserve">Same-name corridor but different city/submarket; large lot; 5 yrs old</t>
  </si>
  <si>
    <t xml:space="preserve">Carl's Jr</t>
  </si>
  <si>
    <t xml:space="preserve">15360 Whittier Blvd., Whittier</t>
  </si>
  <si>
    <t xml:space="preserve">21,436 SF lot</t>
  </si>
  <si>
    <t xml:space="preserve">RENEWAL DEAL WORKSHEET — 31983 — 9.7% OCC HARD STOP; Mid-Term 6/30/27</t>
  </si>
  <si>
    <t xml:space="preserve">CEO SUMMARY — 31983 — 9.7% OCC HARD STOP; Mid-Term 6/30/27</t>
  </si>
  <si>
    <t xml:space="preserve">SOP BASIS: FY25 NI-before-occupancy (ALBOR) $549,652 (28.6% of sales) — the scenario tester computes PRO-FORMA SOP % live for every plugged rent, including the ROB APPROVED column. Each +$25K/yr rent ≈ −1.30 pts.</t>
  </si>
  <si>
    <t xml:space="preserve">TB# 31983 — 1361 S. 60th St., West Allis, WI [WI portfolio]</t>
  </si>
  <si>
    <t xml:space="preserve">KNOWN (J.D. dataset 8/4 — dates only): lease exp 12/22/2035; options -&gt; 7/24/2056; FA Mid-Term trigger 6/30/2027 (INSIDE 18-24 mo window); FA exp 7/24/2036. ESCALATIONS/SCHEDULE: NEEDED from abstract. HARD STOP: FY25 occupancy 9.69% &gt;= 8% (Rob 8/5/26) — CEO sign-off required before responding. Playbook play: Mid-Term remodel = lead with TI ask -&gt; rent reduction/flat (occupancy must come DOWN).</t>
  </si>
  <si>
    <t xml:space="preserve">Current (ALBOR FY25 actual)</t>
  </si>
  <si>
    <t xml:space="preserve">12/22/2035</t>
  </si>
  <si>
    <t xml:space="preserve">ALBOR FY25 rent paid $160,023 / 12 — TEMP; schedule + escalations NEEDED from abstract</t>
  </si>
  <si>
    <t xml:space="preserve">Options period</t>
  </si>
  <si>
    <t xml:space="preserve">12/23/2035</t>
  </si>
  <si>
    <t xml:space="preserve">7/24/2056</t>
  </si>
  <si>
    <t xml:space="preserve">NEEDED: option rates from abstract</t>
  </si>
  <si>
    <t xml:space="preserve">1c. OCCUPANCY BUILD-UP — ALBOR FY25 actuals (Goldberg) — 2026 AP pending (highlight at &gt;= 7.5% of sales; 8% = HARD STOP)</t>
  </si>
  <si>
    <t xml:space="preserve">NNN ($/yr): CAM $0 + INS $0 + TAXES $26,400 + other $0</t>
  </si>
  <si>
    <t xml:space="preserve">SOP BASIS — FY25 NI BEFORE OCCUPANCY (ALBOR): $549,652 — pro-forma NI = NIBO minus scenario all-in rent. Each +$25K/yr of rent ≈ −1.30 pts of margin. Scenario tester row 'SOP IMPACT' computes pro-forma SOP % live for every plugged rent, including the ROB APPROVED column.</t>
  </si>
  <si>
    <t xml:space="preserve">DRIVER: BASE RENT ALONE is &gt;= 7.5% (8.32%) — rent is the problem, NNN adds 1.37 pts on top</t>
  </si>
  <si>
    <t xml:space="preserve">[WI comps: Mid-America 7/16/26 covers 31991/31994 corridor — market-specific comps to be requested/qualified]</t>
  </si>
  <si>
    <t xml:space="preserve">RENEWAL DEAL WORKSHEET — 31987 — 8.7% OCC + FA gap 1 DAY</t>
  </si>
  <si>
    <t xml:space="preserve">CEO SUMMARY — 31987 — 8.7% OCC + FA gap 1 DAY</t>
  </si>
  <si>
    <t xml:space="preserve">SOP BASIS: FY25 NI-before-occupancy (ALBOR) $736,182 (29.8% of sales) — the scenario tester computes PRO-FORMA SOP % live for every plugged rent, including the ROB APPROVED column. Each +$25K/yr rent ≈ −1.01 pts.</t>
  </si>
  <si>
    <t xml:space="preserve">TB# 31987 — 3358 Douglas Avenue, Racine, WI [WI portfolio]</t>
  </si>
  <si>
    <t xml:space="preserve">BLDG 2,276 SF / LOT 0.74 ac / built 1994 — LoopNet (ground-lease listing record) 8/5/26</t>
  </si>
  <si>
    <t xml:space="preserve">KNOWN (dates only): lease exp 10/31/2029; options end 2/28/2033. FA HARD STOP: FA succession 3/1/2033 — options end ONE DAY before FA expiration; extension/new options must be negotiated. OCCUPANCY HARD STOP: FY25 8.70% &gt;= 8% (Rob 8/5/26) — CEO sign-off required before responding. Schedule/escalations NEEDED from abstract.</t>
  </si>
  <si>
    <t xml:space="preserve">10/31/2029</t>
  </si>
  <si>
    <t xml:space="preserve">ALBOR FY25 rent paid $197,266 / 12 — TEMP; schedule NEEDED from abstract</t>
  </si>
  <si>
    <t xml:space="preserve">11/1/2029</t>
  </si>
  <si>
    <t xml:space="preserve">2/28/2033</t>
  </si>
  <si>
    <t xml:space="preserve">NEEDED: option rates</t>
  </si>
  <si>
    <t xml:space="preserve">AFTER 2/28/2033 — options exhausted; FA runs to 3/1/2033+</t>
  </si>
  <si>
    <t xml:space="preserve">3/1/2033</t>
  </si>
  <si>
    <t xml:space="preserve">Negotiate new options/extension — FA alignment (playbook: lease must never run short of FA)</t>
  </si>
  <si>
    <t xml:space="preserve">NNN ($/yr): CAM $0 + INS $0 + TAXES $17,700 + other $0</t>
  </si>
  <si>
    <t xml:space="preserve">SOP BASIS — FY25 NI BEFORE OCCUPANCY (ALBOR): $736,182 — pro-forma NI = NIBO minus scenario all-in rent. Each +$25K/yr of rent ≈ −1.01 pts of margin. Scenario tester row 'SOP IMPACT' computes pro-forma SOP % live for every plugged rent, including the ROB APPROVED column.</t>
  </si>
  <si>
    <t xml:space="preserve">DRIVER: BASE RENT ALONE is &gt;= 7.5% (7.99%) — rent is the problem, NNN adds 0.72 pts on top</t>
  </si>
  <si>
    <t xml:space="preserve">RENEWAL DEAL WORKSHEET — 31989 — NO OPTIONS past 2030 vs FA 2038</t>
  </si>
  <si>
    <t xml:space="preserve">CEO SUMMARY — 31989 — NO OPTIONS past 2030 vs FA 2038</t>
  </si>
  <si>
    <t xml:space="preserve">SOP BASIS: FY25 NI-before-occupancy (ALBOR) $772,144 (33.3% of sales) — the scenario tester computes PRO-FORMA SOP % live for every plugged rent, including the ROB APPROVED column. Each +$25K/yr rent ≈ −1.08 pts.</t>
  </si>
  <si>
    <t xml:space="preserve">TB# 31989 — 920 Greenwald Court, Mukwonago, WI [WI portfolio]</t>
  </si>
  <si>
    <t xml:space="preserve">KNOWN (dates only): lease ends 11/30/2030 with NO options remaining (options exp = lease exp). FA HARD STOP — worst in WI: FA runs to 9/12/2038, 7.8 YEARS past lease end; FA Mid-Term trigger 9/12/2028. This is a FULL RENEWAL NEGOTIATION (like 2828), not an option exercise. Occupancy healthy (2.18%) — strong economics to defend. Schedule/escalations NEEDED from abstract.</t>
  </si>
  <si>
    <t xml:space="preserve">11/30/2030</t>
  </si>
  <si>
    <t xml:space="preserve">ALBOR FY25 rent paid $42,648 / 12 — TEMP; schedule NEEDED from abstract</t>
  </si>
  <si>
    <t xml:space="preserve">AFTER 11/30/2030 — NO LEASE</t>
  </si>
  <si>
    <t xml:space="preserve">12/1/2030</t>
  </si>
  <si>
    <t xml:space="preserve">No options — new-deal rent applies; test candidates in Section 3 when comps arrive</t>
  </si>
  <si>
    <t xml:space="preserve">NNN ($/yr): CAM $0 + INS $0 + TAXES $7,920 + other $0</t>
  </si>
  <si>
    <t xml:space="preserve">SOP BASIS — FY25 NI BEFORE OCCUPANCY (ALBOR): $772,144 — pro-forma NI = NIBO minus scenario all-in rent. Each +$25K/yr of rent ≈ −1.08 pts of margin. Scenario tester row 'SOP IMPACT' computes pro-forma SOP % live for every plugged rent, including the ROB APPROVED column.</t>
  </si>
  <si>
    <t xml:space="preserve">Under 7.5% threshold (total 2.18% = base 1.84% + NNN/% rent 0.34 pts)</t>
  </si>
  <si>
    <t xml:space="preserve">RENEWAL DEAL WORKSHEET — 31992 — options end BEFORE FA (short ~9 mo)</t>
  </si>
  <si>
    <t xml:space="preserve">CEO SUMMARY — 31992 — options end BEFORE FA (short ~9 mo)</t>
  </si>
  <si>
    <t xml:space="preserve">SOP BASIS: FY25 NI-before-occupancy (ALBOR) $864,409 (31.4% of sales) — the scenario tester computes PRO-FORMA SOP % live for every plugged rent, including the ROB APPROVED column. Each +$25K/yr rent ≈ −0.91 pts.</t>
  </si>
  <si>
    <t xml:space="preserve">TB# 31992 — 8261 S. Howell Ave., Oak Creek, WI [WI portfolio]</t>
  </si>
  <si>
    <t xml:space="preserve">KNOWN (dates only): lease exp 4/30/2030; options -&gt; 4/30/2035. FA HARD STOP: FA exp 1/24/2036 — options runway ends ~9 months short. FA Mid-Term trigger 6/30/2027 (INSIDE 18-24 mo window). Rent commencement unknown (lease date used). Occupancy healthy (2.76%). Playbook play: Mid-Term remodel TI ask + negotiate added option term to clear the FA gap. Schedule/escalations NEEDED from abstract.</t>
  </si>
  <si>
    <t xml:space="preserve">4/30/2030</t>
  </si>
  <si>
    <t xml:space="preserve">ALBOR FY25 rent paid $58,447 / 12 — TEMP; schedule NEEDED from abstract</t>
  </si>
  <si>
    <t xml:space="preserve">5/1/2030</t>
  </si>
  <si>
    <t xml:space="preserve">4/30/2035</t>
  </si>
  <si>
    <t xml:space="preserve">AFTER 4/30/2035 — FA runs to 1/24/2036</t>
  </si>
  <si>
    <t xml:space="preserve">5/1/2035</t>
  </si>
  <si>
    <t xml:space="preserve">~9-mo FA gap — negotiate additional option/extension</t>
  </si>
  <si>
    <t xml:space="preserve">NNN ($/yr): CAM $0 + INS $0 + TAXES $17,580 + other $0</t>
  </si>
  <si>
    <t xml:space="preserve">SOP BASIS — FY25 NI BEFORE OCCUPANCY (ALBOR): $864,409 — pro-forma NI = NIBO minus scenario all-in rent. Each +$25K/yr of rent ≈ −0.91 pts of margin. Scenario tester row 'SOP IMPACT' computes pro-forma SOP % live for every plugged rent, including the ROB APPROVED column.</t>
  </si>
  <si>
    <t xml:space="preserve">Under 7.5% threshold (total 2.76% = base 2.12% + NNN/% rent 0.64 pts)</t>
  </si>
  <si>
    <t xml:space="preserve">RENEWAL DEAL WORKSHEET — 31996 — NEAREST WI Mid-Term (1/13/27)</t>
  </si>
  <si>
    <t xml:space="preserve">CEO SUMMARY — 31996 — NEAREST WI Mid-Term (1/13/27)</t>
  </si>
  <si>
    <t xml:space="preserve">SOP BASIS: FY25 NI-before-occupancy (ALBOR) $792,366 (32.9% of sales) — the scenario tester computes PRO-FORMA SOP % live for every plugged rent, including the ROB APPROVED column. Each +$25K/yr rent ≈ −1.04 pts.</t>
  </si>
  <si>
    <t xml:space="preserve">TB# 31996 — 8040 Sheridan Rd, Kenosha, WI [WI portfolio]</t>
  </si>
  <si>
    <t xml:space="preserve">KNOWN (dates only — from LEASE SUMMARY, executed lease requested): lease exp 12/22/2035; options -&gt; 12/22/2045; FA Mid-Term trigger 1/13/2027 — the NEAREST WI FA action date (5.3 mo out, INSIDE window); FA exp 1/13/2040. FA-aligned (options cover FA). Occupancy 5.85% — under alert. Playbook play: Mid-Term remodel = lead with TI ask ($300K mid-term per playbook Step 3). Schedule/escalations NEEDED from abstract + executed lease.</t>
  </si>
  <si>
    <t xml:space="preserve">ALBOR FY25 rent paid $120,043 / 12 — TEMP; schedule NEEDED from abstract</t>
  </si>
  <si>
    <t xml:space="preserve">12/22/2045</t>
  </si>
  <si>
    <t xml:space="preserve">NNN ($/yr): CAM $0 + INS $0 + TAXES $20,700 + other $0</t>
  </si>
  <si>
    <t xml:space="preserve">SOP BASIS — FY25 NI BEFORE OCCUPANCY (ALBOR): $792,366 — pro-forma NI = NIBO minus scenario all-in rent. Each +$25K/yr of rent ≈ −1.04 pts of margin. Scenario tester row 'SOP IMPACT' computes pro-forma SOP % live for every plugged rent, including the ROB APPROVED column.</t>
  </si>
  <si>
    <t xml:space="preserve">Under 7.5% threshold (total 5.85% = base 4.99% + NNN/% rent 0.86 pts)</t>
  </si>
</sst>
</file>

<file path=xl/styles.xml><?xml version="1.0" encoding="utf-8"?>
<styleSheet xmlns="http://schemas.openxmlformats.org/spreadsheetml/2006/main">
  <numFmts count="10">
    <numFmt numFmtId="164" formatCode="General"/>
    <numFmt numFmtId="165" formatCode="yyyy\-mm\-dd\ h:mm:ss"/>
    <numFmt numFmtId="166" formatCode="\$#,##0"/>
    <numFmt numFmtId="167" formatCode="\$#,##0.00"/>
    <numFmt numFmtId="168" formatCode="0.00%"/>
    <numFmt numFmtId="169" formatCode="0.0%"/>
    <numFmt numFmtId="170" formatCode="0"/>
    <numFmt numFmtId="171" formatCode="\$#,##0;&quot;($&quot;#,##0\)"/>
    <numFmt numFmtId="172" formatCode="\+0.0%;\-0.0%"/>
    <numFmt numFmtId="173" formatCode="#,##0"/>
  </numFmts>
  <fonts count="35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3B2A5A"/>
      <name val="Arial"/>
      <family val="0"/>
      <charset val="1"/>
    </font>
    <font>
      <sz val="10"/>
      <name val="Arial"/>
      <family val="0"/>
      <charset val="1"/>
    </font>
    <font>
      <b val="true"/>
      <sz val="13"/>
      <color rgb="FF3B2A5A"/>
      <name val="Arial"/>
      <family val="0"/>
      <charset val="1"/>
    </font>
    <font>
      <b val="true"/>
      <sz val="9"/>
      <color rgb="FFFFFFFF"/>
      <name val="Arial"/>
      <family val="0"/>
      <charset val="1"/>
    </font>
    <font>
      <b val="true"/>
      <sz val="10"/>
      <color rgb="FF6B4FA0"/>
      <name val="Arial"/>
      <family val="0"/>
      <charset val="1"/>
    </font>
    <font>
      <b val="true"/>
      <sz val="9"/>
      <name val="Arial"/>
      <family val="0"/>
      <charset val="1"/>
    </font>
    <font>
      <sz val="9"/>
      <name val="Arial"/>
      <family val="0"/>
      <charset val="1"/>
    </font>
    <font>
      <sz val="9"/>
      <color rgb="FF2E6E3E"/>
      <name val="Arial"/>
      <family val="0"/>
      <charset val="1"/>
    </font>
    <font>
      <sz val="9"/>
      <color rgb="FF000000"/>
      <name val="Arial"/>
      <family val="0"/>
      <charset val="1"/>
    </font>
    <font>
      <b val="true"/>
      <sz val="9"/>
      <color rgb="FFC00000"/>
      <name val="Arial"/>
      <family val="0"/>
      <charset val="1"/>
    </font>
    <font>
      <b val="true"/>
      <sz val="12"/>
      <color rgb="FF3B2A5A"/>
      <name val="Arial"/>
      <family val="0"/>
      <charset val="1"/>
    </font>
    <font>
      <i val="true"/>
      <sz val="9"/>
      <name val="Arial"/>
      <family val="0"/>
      <charset val="1"/>
    </font>
    <font>
      <b val="true"/>
      <sz val="11"/>
      <color rgb="FF6B4FA0"/>
      <name val="Arial"/>
      <family val="0"/>
      <charset val="1"/>
    </font>
    <font>
      <b val="true"/>
      <sz val="12"/>
      <color rgb="FFFFFFFF"/>
      <name val="Arial"/>
      <family val="0"/>
      <charset val="1"/>
    </font>
    <font>
      <b val="true"/>
      <sz val="10"/>
      <color rgb="FF2E6E3E"/>
      <name val="Arial"/>
      <family val="0"/>
      <charset val="1"/>
    </font>
    <font>
      <b val="true"/>
      <sz val="10"/>
      <name val="Arial"/>
      <family val="0"/>
      <charset val="1"/>
    </font>
    <font>
      <b val="true"/>
      <sz val="10"/>
      <color rgb="FF1F4E79"/>
      <name val="Arial"/>
      <family val="0"/>
      <charset val="1"/>
    </font>
    <font>
      <i val="true"/>
      <sz val="8"/>
      <color rgb="FF777777"/>
      <name val="Arial"/>
      <family val="0"/>
      <charset val="1"/>
    </font>
    <font>
      <b val="true"/>
      <sz val="10"/>
      <color rgb="FF0000FF"/>
      <name val="Arial"/>
      <family val="0"/>
      <charset val="1"/>
    </font>
    <font>
      <sz val="10"/>
      <color rgb="FF0000FF"/>
      <name val="Arial"/>
      <family val="0"/>
      <charset val="1"/>
    </font>
    <font>
      <i val="true"/>
      <sz val="8"/>
      <name val="Arial"/>
      <family val="0"/>
      <charset val="1"/>
    </font>
    <font>
      <b val="true"/>
      <sz val="9"/>
      <color rgb="FF1F4E79"/>
      <name val="Arial"/>
      <family val="0"/>
      <charset val="1"/>
    </font>
    <font>
      <b val="true"/>
      <sz val="9"/>
      <color rgb="FF2E6E3E"/>
      <name val="Arial"/>
      <family val="0"/>
      <charset val="1"/>
    </font>
    <font>
      <b val="true"/>
      <sz val="9"/>
      <color rgb="FFC05A00"/>
      <name val="Arial"/>
      <family val="0"/>
      <charset val="1"/>
    </font>
    <font>
      <b val="true"/>
      <sz val="8"/>
      <color rgb="FFFFFFFF"/>
      <name val="Arial"/>
      <family val="0"/>
      <charset val="1"/>
    </font>
    <font>
      <b val="true"/>
      <sz val="8"/>
      <name val="Arial"/>
      <family val="0"/>
      <charset val="1"/>
    </font>
    <font>
      <sz val="8"/>
      <name val="Arial"/>
      <family val="0"/>
      <charset val="1"/>
    </font>
    <font>
      <sz val="8"/>
      <color rgb="FF000000"/>
      <name val="Arial"/>
      <family val="0"/>
      <charset val="1"/>
    </font>
    <font>
      <b val="true"/>
      <sz val="10"/>
      <color rgb="FFC00000"/>
      <name val="Arial"/>
      <family val="0"/>
      <charset val="1"/>
    </font>
    <font>
      <sz val="8"/>
      <color rgb="FFC05A00"/>
      <name val="Arial"/>
      <family val="0"/>
      <charset val="1"/>
    </font>
    <font>
      <i val="true"/>
      <sz val="10"/>
      <color rgb="FFC05A00"/>
      <name val="Arial"/>
      <family val="0"/>
      <charset val="1"/>
    </font>
  </fonts>
  <fills count="7">
    <fill>
      <patternFill patternType="none"/>
    </fill>
    <fill>
      <patternFill patternType="gray125"/>
    </fill>
    <fill>
      <patternFill patternType="solid">
        <fgColor rgb="FF3B2A5A"/>
        <bgColor rgb="FF333300"/>
      </patternFill>
    </fill>
    <fill>
      <patternFill patternType="solid">
        <fgColor rgb="FFF2F0F7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C00000"/>
        <bgColor rgb="FF800000"/>
      </patternFill>
    </fill>
    <fill>
      <patternFill patternType="solid">
        <fgColor rgb="FFFFC7CE"/>
        <bgColor rgb="FFCCCC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10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11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12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13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1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7" fillId="2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5" fontId="10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17" fillId="2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5" fillId="3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8" fillId="3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9" fillId="3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20" fillId="3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21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9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6" fontId="5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9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22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3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4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0" fillId="4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1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5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2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1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4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6" fontId="19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0" fillId="4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6" fontId="10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26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27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5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23" fillId="4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23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23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23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0" fontId="23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1" fontId="1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2" fontId="1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1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3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27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2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8" fillId="2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28" fillId="2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8" fillId="5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9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3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3" fontId="3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3" fontId="3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3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32" fillId="3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7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6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23" fillId="6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3" fontId="3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19" fillId="6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6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4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6" fontId="5" fillId="4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9" fontId="3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800000"/>
      <rgbColor rgb="FF2E6E3E"/>
      <rgbColor rgb="FF000080"/>
      <rgbColor rgb="FF808000"/>
      <rgbColor rgb="FF800080"/>
      <rgbColor rgb="FF008080"/>
      <rgbColor rgb="FFCCCCCC"/>
      <rgbColor rgb="FF777777"/>
      <rgbColor rgb="FF9999FF"/>
      <rgbColor rgb="FF993366"/>
      <rgbColor rgb="FFF2F0F7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7CE"/>
      <rgbColor rgb="FF3366FF"/>
      <rgbColor rgb="FF33CCCC"/>
      <rgbColor rgb="FF99CC00"/>
      <rgbColor rgb="FFFFCC00"/>
      <rgbColor rgb="FFFF9900"/>
      <rgbColor rgb="FFC05A00"/>
      <rgbColor rgb="FF6B4FA0"/>
      <rgbColor rgb="FF969696"/>
      <rgbColor rgb="FF003366"/>
      <rgbColor rgb="FF339966"/>
      <rgbColor rgb="FF003300"/>
      <rgbColor rgb="FF333300"/>
      <rgbColor rgb="FF993300"/>
      <rgbColor rgb="FF993366"/>
      <rgbColor rgb="FF1F4E79"/>
      <rgbColor rgb="FF3B2A5A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worksheet" Target="worksheets/sheet10.xml"/><Relationship Id="rId13" Type="http://schemas.openxmlformats.org/officeDocument/2006/relationships/worksheet" Target="worksheets/sheet11.xml"/><Relationship Id="rId14" Type="http://schemas.openxmlformats.org/officeDocument/2006/relationships/worksheet" Target="worksheets/sheet12.xml"/><Relationship Id="rId15" Type="http://schemas.openxmlformats.org/officeDocument/2006/relationships/worksheet" Target="worksheets/sheet13.xml"/><Relationship Id="rId16" Type="http://schemas.openxmlformats.org/officeDocument/2006/relationships/worksheet" Target="worksheets/sheet14.xml"/><Relationship Id="rId17" Type="http://schemas.openxmlformats.org/officeDocument/2006/relationships/worksheet" Target="worksheets/sheet15.xml"/><Relationship Id="rId18" Type="http://schemas.openxmlformats.org/officeDocument/2006/relationships/worksheet" Target="worksheets/sheet16.xml"/><Relationship Id="rId19" Type="http://schemas.openxmlformats.org/officeDocument/2006/relationships/worksheet" Target="worksheets/sheet17.xml"/><Relationship Id="rId20" Type="http://schemas.openxmlformats.org/officeDocument/2006/relationships/worksheet" Target="worksheets/sheet18.xml"/><Relationship Id="rId21" Type="http://schemas.openxmlformats.org/officeDocument/2006/relationships/worksheet" Target="worksheets/sheet19.xml"/><Relationship Id="rId22" Type="http://schemas.openxmlformats.org/officeDocument/2006/relationships/worksheet" Target="worksheets/sheet20.xml"/><Relationship Id="rId23" Type="http://schemas.openxmlformats.org/officeDocument/2006/relationships/worksheet" Target="worksheets/sheet21.xml"/><Relationship Id="rId24" Type="http://schemas.openxmlformats.org/officeDocument/2006/relationships/worksheet" Target="worksheets/sheet22.xml"/><Relationship Id="rId25" Type="http://schemas.openxmlformats.org/officeDocument/2006/relationships/worksheet" Target="worksheets/sheet23.xml"/><Relationship Id="rId26" Type="http://schemas.openxmlformats.org/officeDocument/2006/relationships/worksheet" Target="worksheets/sheet24.xml"/><Relationship Id="rId27" Type="http://schemas.openxmlformats.org/officeDocument/2006/relationships/worksheet" Target="worksheets/sheet25.xml"/><Relationship Id="rId28" Type="http://schemas.openxmlformats.org/officeDocument/2006/relationships/worksheet" Target="worksheets/sheet26.xml"/><Relationship Id="rId29" Type="http://schemas.openxmlformats.org/officeDocument/2006/relationships/worksheet" Target="worksheets/sheet27.xml"/><Relationship Id="rId30" Type="http://schemas.openxmlformats.org/officeDocument/2006/relationships/worksheet" Target="worksheets/sheet28.xml"/><Relationship Id="rId31" Type="http://schemas.openxmlformats.org/officeDocument/2006/relationships/worksheet" Target="worksheets/sheet29.xml"/><Relationship Id="rId32" Type="http://schemas.openxmlformats.org/officeDocument/2006/relationships/worksheet" Target="worksheets/sheet30.xml"/><Relationship Id="rId33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2.xml.rels><?xml version="1.0" encoding="UTF-8"?>
<Relationships xmlns="http://schemas.openxmlformats.org/package/2006/relationships"><Relationship Id="rId1" Type="http://schemas.openxmlformats.org/officeDocument/2006/relationships/hyperlink" Target="Renewal_Deal_Worksheets_ALL_v24.xlsx" TargetMode="External"/><Relationship Id="rId2" Type="http://schemas.openxmlformats.org/officeDocument/2006/relationships/hyperlink" Target="Renewal_Deal_Worksheets_ALL_v24.xlsx" TargetMode="External"/><Relationship Id="rId3" Type="http://schemas.openxmlformats.org/officeDocument/2006/relationships/hyperlink" Target="Renewal_Deal_Worksheets_ALL_v24.xlsx" TargetMode="External"/><Relationship Id="rId4" Type="http://schemas.openxmlformats.org/officeDocument/2006/relationships/hyperlink" Target="Renewal_Deal_Worksheets_ALL_v24.xlsx" TargetMode="External"/><Relationship Id="rId5" Type="http://schemas.openxmlformats.org/officeDocument/2006/relationships/hyperlink" Target="Renewal_Deal_Worksheets_ALL_v24.xlsx" TargetMode="External"/><Relationship Id="rId6" Type="http://schemas.openxmlformats.org/officeDocument/2006/relationships/hyperlink" Target="Renewal_Deal_Worksheets_ALL_v24.xlsx" TargetMode="External"/><Relationship Id="rId7" Type="http://schemas.openxmlformats.org/officeDocument/2006/relationships/hyperlink" Target="Renewal_Deal_Worksheets_ALL_v24.xlsx" TargetMode="External"/><Relationship Id="rId8" Type="http://schemas.openxmlformats.org/officeDocument/2006/relationships/hyperlink" Target="Renewal_Deal_Worksheets_ALL_v24.xlsx" TargetMode="External"/><Relationship Id="rId9" Type="http://schemas.openxmlformats.org/officeDocument/2006/relationships/hyperlink" Target="Renewal_Deal_Worksheets_ALL_v24.xlsx" TargetMode="External"/><Relationship Id="rId10" Type="http://schemas.openxmlformats.org/officeDocument/2006/relationships/hyperlink" Target="Renewal_Deal_Worksheets_ALL_v24.xlsx" TargetMode="External"/><Relationship Id="rId11" Type="http://schemas.openxmlformats.org/officeDocument/2006/relationships/hyperlink" Target="Renewal_Deal_Worksheets_ALL_v24.xlsx" TargetMode="External"/><Relationship Id="rId12" Type="http://schemas.openxmlformats.org/officeDocument/2006/relationships/hyperlink" Target="Renewal_Deal_Worksheets_ALL_v24.xlsx" TargetMode="External"/><Relationship Id="rId13" Type="http://schemas.openxmlformats.org/officeDocument/2006/relationships/hyperlink" Target="Renewal_Deal_Worksheets_ALL_v24.xlsx" TargetMode="External"/><Relationship Id="rId14" Type="http://schemas.openxmlformats.org/officeDocument/2006/relationships/hyperlink" Target="Renewal_Deal_Worksheets_ALL_v24.xlsx" TargetMode="External"/><Relationship Id="rId15" Type="http://schemas.openxmlformats.org/officeDocument/2006/relationships/hyperlink" Target="Renewal_Deal_Worksheets_ALL_v24.xlsx" TargetMode="External"/><Relationship Id="rId16" Type="http://schemas.openxmlformats.org/officeDocument/2006/relationships/hyperlink" Target="Renewal_Deal_Worksheets_ALL_v24.xlsx" TargetMode="External"/><Relationship Id="rId17" Type="http://schemas.openxmlformats.org/officeDocument/2006/relationships/hyperlink" Target="Renewal_Deal_Worksheets_ALL_v24.xlsx" TargetMode="External"/><Relationship Id="rId18" Type="http://schemas.openxmlformats.org/officeDocument/2006/relationships/hyperlink" Target="Renewal_Deal_Worksheets_ALL_v24.xlsx" TargetMode="External"/><Relationship Id="rId19" Type="http://schemas.openxmlformats.org/officeDocument/2006/relationships/hyperlink" Target="Renewal_Deal_Worksheets_ALL_v24.xlsx" TargetMode="External"/><Relationship Id="rId20" Type="http://schemas.openxmlformats.org/officeDocument/2006/relationships/hyperlink" Target="Renewal_Deal_Worksheets_ALL_v24.xlsx" TargetMode="External"/><Relationship Id="rId21" Type="http://schemas.openxmlformats.org/officeDocument/2006/relationships/hyperlink" Target="Renewal_Deal_Worksheets_ALL_v24.xlsx" TargetMode="External"/><Relationship Id="rId22" Type="http://schemas.openxmlformats.org/officeDocument/2006/relationships/hyperlink" Target="Renewal_Deal_Worksheets_ALL_v24.xlsx" TargetMode="External"/><Relationship Id="rId23" Type="http://schemas.openxmlformats.org/officeDocument/2006/relationships/hyperlink" Target="Renewal_Deal_Worksheets_ALL_v24.xlsx" TargetMode="External"/><Relationship Id="rId24" Type="http://schemas.openxmlformats.org/officeDocument/2006/relationships/hyperlink" Target="Renewal_Deal_Worksheets_ALL_v24.xlsx" TargetMode="External"/><Relationship Id="rId25" Type="http://schemas.openxmlformats.org/officeDocument/2006/relationships/hyperlink" Target="Renewal_Deal_Worksheets_ALL_v24.xlsx" TargetMode="External"/><Relationship Id="rId26" Type="http://schemas.openxmlformats.org/officeDocument/2006/relationships/hyperlink" Target="Renewal_Deal_Worksheets_ALL_v24.xlsx" TargetMode="External"/><Relationship Id="rId27" Type="http://schemas.openxmlformats.org/officeDocument/2006/relationships/hyperlink" Target="Renewal_Deal_Worksheets_ALL_v24.xlsx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50"/>
  </cols>
  <sheetData>
    <row r="1" customFormat="false" ht="17.35" hidden="false" customHeight="false" outlineLevel="0" collapsed="false">
      <c r="A1" s="1" t="s">
        <v>0</v>
      </c>
    </row>
    <row r="2" customFormat="false" ht="30" hidden="false" customHeight="true" outlineLevel="0" collapsed="false">
      <c r="A2" s="2"/>
    </row>
    <row r="3" customFormat="false" ht="30" hidden="false" customHeight="true" outlineLevel="0" collapsed="false">
      <c r="A3" s="2" t="s">
        <v>1</v>
      </c>
    </row>
    <row r="4" customFormat="false" ht="30" hidden="false" customHeight="true" outlineLevel="0" collapsed="false">
      <c r="A4" s="2" t="s">
        <v>2</v>
      </c>
    </row>
    <row r="5" customFormat="false" ht="30" hidden="false" customHeight="true" outlineLevel="0" collapsed="false">
      <c r="A5" s="2" t="s">
        <v>3</v>
      </c>
    </row>
    <row r="6" customFormat="false" ht="30" hidden="false" customHeight="true" outlineLevel="0" collapsed="false">
      <c r="A6" s="2" t="s">
        <v>4</v>
      </c>
    </row>
    <row r="7" customFormat="false" ht="30" hidden="false" customHeight="true" outlineLevel="0" collapsed="false">
      <c r="A7" s="2" t="s">
        <v>5</v>
      </c>
    </row>
    <row r="8" customFormat="false" ht="30" hidden="false" customHeight="true" outlineLevel="0" collapsed="false">
      <c r="A8" s="2" t="s">
        <v>6</v>
      </c>
    </row>
    <row r="9" customFormat="false" ht="30" hidden="false" customHeight="true" outlineLevel="0" collapsed="false">
      <c r="A9" s="2" t="s">
        <v>7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T10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6"/>
    <col collapsed="false" customWidth="true" hidden="false" outlineLevel="0" max="2" min="2" style="0" width="22"/>
    <col collapsed="false" customWidth="true" hidden="false" outlineLevel="0" max="3" min="3" style="0" width="11"/>
    <col collapsed="false" customWidth="true" hidden="false" outlineLevel="0" max="4" min="4" style="0" width="14"/>
    <col collapsed="false" customWidth="true" hidden="false" outlineLevel="0" max="6" min="5" style="0" width="12"/>
    <col collapsed="false" customWidth="true" hidden="false" outlineLevel="0" max="7" min="7" style="0" width="14"/>
    <col collapsed="false" customWidth="true" hidden="false" outlineLevel="0" max="9" min="8" style="0" width="13"/>
    <col collapsed="false" customWidth="true" hidden="false" outlineLevel="0" max="10" min="10" style="0" width="26"/>
  </cols>
  <sheetData>
    <row r="1" customFormat="false" ht="16.15" hidden="false" customHeight="false" outlineLevel="0" collapsed="false">
      <c r="A1" s="3" t="s">
        <v>558</v>
      </c>
    </row>
    <row r="2" customFormat="false" ht="25.5" hidden="false" customHeight="true" outlineLevel="0" collapsed="false">
      <c r="A2" s="12" t="s">
        <v>251</v>
      </c>
      <c r="B2" s="12"/>
      <c r="C2" s="12"/>
      <c r="D2" s="12"/>
      <c r="E2" s="12"/>
      <c r="F2" s="12"/>
      <c r="G2" s="12"/>
      <c r="H2" s="12"/>
      <c r="I2" s="12"/>
      <c r="J2" s="12"/>
    </row>
    <row r="3" customFormat="false" ht="15" hidden="false" customHeight="true" outlineLevel="0" collapsed="false">
      <c r="A3" s="16" t="s">
        <v>559</v>
      </c>
      <c r="B3" s="16"/>
      <c r="C3" s="16"/>
      <c r="D3" s="16"/>
      <c r="E3" s="16"/>
      <c r="F3" s="16"/>
      <c r="G3" s="16"/>
      <c r="H3" s="16"/>
      <c r="I3" s="16"/>
      <c r="J3" s="16"/>
    </row>
    <row r="4" customFormat="false" ht="30" hidden="false" customHeight="true" outlineLevel="0" collapsed="false">
      <c r="A4" s="17" t="s">
        <v>43</v>
      </c>
      <c r="B4" s="17"/>
      <c r="C4" s="17"/>
      <c r="D4" s="17"/>
      <c r="E4" s="17"/>
      <c r="F4" s="17"/>
      <c r="G4" s="17"/>
      <c r="H4" s="17"/>
      <c r="I4" s="17"/>
      <c r="J4" s="17"/>
    </row>
    <row r="5" customFormat="false" ht="15" hidden="false" customHeight="true" outlineLevel="0" collapsed="false">
      <c r="A5" s="18" t="s">
        <v>17</v>
      </c>
      <c r="B5" s="18"/>
      <c r="C5" s="18"/>
      <c r="D5" s="18"/>
      <c r="E5" s="18"/>
      <c r="F5" s="18"/>
      <c r="G5" s="18"/>
      <c r="H5" s="18"/>
      <c r="I5" s="18"/>
      <c r="J5" s="18"/>
    </row>
    <row r="6" customFormat="false" ht="15" hidden="false" customHeight="true" outlineLevel="0" collapsed="false">
      <c r="A6" s="19" t="s">
        <v>44</v>
      </c>
      <c r="B6" s="19"/>
      <c r="C6" s="19"/>
      <c r="D6" s="19"/>
      <c r="E6" s="19"/>
      <c r="F6" s="19"/>
      <c r="G6" s="19"/>
      <c r="H6" s="19"/>
      <c r="I6" s="19"/>
      <c r="J6" s="19"/>
    </row>
    <row r="7" customFormat="false" ht="23.85" hidden="false" customHeight="true" outlineLevel="0" collapsed="false">
      <c r="A7" s="20" t="s">
        <v>560</v>
      </c>
      <c r="B7" s="20"/>
      <c r="C7" s="20"/>
      <c r="D7" s="20"/>
      <c r="E7" s="20"/>
      <c r="F7" s="20"/>
      <c r="G7" s="20"/>
      <c r="H7" s="20"/>
      <c r="I7" s="20"/>
      <c r="J7" s="20"/>
    </row>
    <row r="8" customFormat="false" ht="15" hidden="false" customHeight="true" outlineLevel="0" collapsed="false">
      <c r="A8" s="21" t="s">
        <v>254</v>
      </c>
      <c r="B8" s="21"/>
      <c r="C8" s="21"/>
      <c r="D8" s="21"/>
      <c r="E8" s="21"/>
      <c r="F8" s="21"/>
      <c r="G8" s="21"/>
      <c r="H8" s="21"/>
      <c r="I8" s="21"/>
      <c r="J8" s="21"/>
    </row>
    <row r="10" customFormat="false" ht="15" hidden="false" customHeight="true" outlineLevel="0" collapsed="false">
      <c r="A10" s="22" t="s">
        <v>255</v>
      </c>
      <c r="B10" s="22"/>
      <c r="C10" s="22"/>
      <c r="D10" s="23" t="s">
        <v>561</v>
      </c>
      <c r="E10" s="23"/>
      <c r="F10" s="23"/>
      <c r="G10" s="23"/>
      <c r="H10" s="23"/>
      <c r="I10" s="23"/>
      <c r="J10" s="23"/>
    </row>
    <row r="11" customFormat="false" ht="15" hidden="false" customHeight="true" outlineLevel="0" collapsed="false">
      <c r="A11" s="22" t="s">
        <v>257</v>
      </c>
      <c r="B11" s="22"/>
      <c r="C11" s="22"/>
      <c r="D11" s="23" t="s">
        <v>562</v>
      </c>
      <c r="E11" s="23"/>
      <c r="F11" s="23"/>
      <c r="G11" s="23"/>
      <c r="H11" s="23"/>
      <c r="I11" s="23"/>
      <c r="J11" s="23"/>
    </row>
    <row r="12" customFormat="false" ht="15" hidden="false" customHeight="true" outlineLevel="0" collapsed="false">
      <c r="A12" s="22" t="s">
        <v>259</v>
      </c>
      <c r="B12" s="22"/>
      <c r="C12" s="22"/>
      <c r="D12" s="86"/>
      <c r="E12" s="86"/>
      <c r="F12" s="86"/>
      <c r="G12" s="86"/>
      <c r="H12" s="86"/>
      <c r="I12" s="86"/>
      <c r="J12" s="86"/>
    </row>
    <row r="13" customFormat="false" ht="15" hidden="false" customHeight="true" outlineLevel="0" collapsed="false">
      <c r="A13" s="22" t="s">
        <v>261</v>
      </c>
      <c r="B13" s="22"/>
      <c r="C13" s="22"/>
      <c r="D13" s="24" t="n">
        <v>3259000</v>
      </c>
      <c r="E13" s="24"/>
      <c r="F13" s="24"/>
      <c r="G13" s="24"/>
      <c r="H13" s="24"/>
      <c r="I13" s="24"/>
      <c r="J13" s="24"/>
    </row>
    <row r="14" customFormat="false" ht="35.05" hidden="false" customHeight="true" outlineLevel="0" collapsed="false">
      <c r="A14" s="22" t="s">
        <v>262</v>
      </c>
      <c r="B14" s="22"/>
      <c r="C14" s="22"/>
      <c r="D14" s="22" t="s">
        <v>563</v>
      </c>
      <c r="E14" s="22"/>
      <c r="F14" s="22"/>
      <c r="G14" s="22"/>
      <c r="H14" s="22"/>
      <c r="I14" s="22"/>
      <c r="J14" s="22"/>
    </row>
    <row r="16" customFormat="false" ht="15" hidden="false" customHeight="false" outlineLevel="0" collapsed="false">
      <c r="A16" s="25" t="s">
        <v>264</v>
      </c>
    </row>
    <row r="17" customFormat="false" ht="22.35" hidden="false" customHeight="true" outlineLevel="0" collapsed="false">
      <c r="A17" s="26" t="s">
        <v>265</v>
      </c>
      <c r="B17" s="26" t="s">
        <v>266</v>
      </c>
      <c r="C17" s="26" t="s">
        <v>267</v>
      </c>
      <c r="D17" s="26" t="s">
        <v>268</v>
      </c>
      <c r="E17" s="26" t="s">
        <v>269</v>
      </c>
      <c r="F17" s="26" t="s">
        <v>270</v>
      </c>
      <c r="G17" s="26" t="s">
        <v>271</v>
      </c>
      <c r="H17" s="26"/>
      <c r="I17" s="26"/>
      <c r="J17" s="26"/>
    </row>
    <row r="18" customFormat="false" ht="23.85" hidden="false" customHeight="true" outlineLevel="0" collapsed="false">
      <c r="A18" s="27" t="s">
        <v>564</v>
      </c>
      <c r="B18" s="28" t="s">
        <v>404</v>
      </c>
      <c r="C18" s="28" t="s">
        <v>565</v>
      </c>
      <c r="D18" s="29" t="n">
        <v>13595</v>
      </c>
      <c r="E18" s="30" t="n">
        <f aca="false">IF(D18="","",D18*12)</f>
        <v>163140</v>
      </c>
      <c r="F18" s="31" t="n">
        <v>10</v>
      </c>
      <c r="G18" s="32" t="s">
        <v>566</v>
      </c>
      <c r="H18" s="32"/>
      <c r="I18" s="32"/>
      <c r="J18" s="32"/>
    </row>
    <row r="19" customFormat="false" ht="15" hidden="false" customHeight="false" outlineLevel="0" collapsed="false">
      <c r="A19" s="34" t="s">
        <v>284</v>
      </c>
      <c r="B19" s="34"/>
      <c r="C19" s="34"/>
      <c r="D19" s="34"/>
      <c r="E19" s="35" t="n">
        <f aca="false">IF(SUMPRODUCT(E18:E18,F18:F18)=0,"",SUMPRODUCT(E18:E18,F18:F18))</f>
        <v>1631400</v>
      </c>
      <c r="F19" s="36"/>
      <c r="G19" s="36"/>
      <c r="H19" s="36"/>
      <c r="I19" s="36"/>
      <c r="J19" s="36"/>
    </row>
    <row r="20" customFormat="false" ht="15" hidden="false" customHeight="false" outlineLevel="0" collapsed="false">
      <c r="A20" s="37" t="s">
        <v>510</v>
      </c>
      <c r="B20" s="37"/>
      <c r="C20" s="37"/>
      <c r="D20" s="37"/>
      <c r="E20" s="37"/>
      <c r="F20" s="37"/>
      <c r="G20" s="37"/>
      <c r="H20" s="37"/>
      <c r="I20" s="37"/>
      <c r="J20" s="37"/>
    </row>
    <row r="22" customFormat="false" ht="15" hidden="false" customHeight="false" outlineLevel="0" collapsed="false">
      <c r="A22" s="25" t="s">
        <v>286</v>
      </c>
    </row>
    <row r="23" customFormat="false" ht="15" hidden="false" customHeight="true" outlineLevel="0" collapsed="false">
      <c r="A23" s="22" t="s">
        <v>287</v>
      </c>
      <c r="B23" s="22"/>
      <c r="C23" s="22"/>
      <c r="D23" s="35" t="n">
        <v>163140</v>
      </c>
      <c r="E23" s="36"/>
      <c r="F23" s="36"/>
      <c r="G23" s="36"/>
      <c r="H23" s="36"/>
      <c r="I23" s="36"/>
      <c r="J23" s="36"/>
    </row>
    <row r="24" customFormat="false" ht="15" hidden="false" customHeight="true" outlineLevel="0" collapsed="false">
      <c r="A24" s="22" t="s">
        <v>288</v>
      </c>
      <c r="B24" s="22"/>
      <c r="C24" s="22"/>
      <c r="D24" s="38" t="n">
        <v>0.0500583000920528</v>
      </c>
      <c r="E24" s="39" t="s">
        <v>289</v>
      </c>
      <c r="F24" s="39"/>
      <c r="G24" s="39"/>
      <c r="H24" s="39"/>
      <c r="I24" s="39"/>
      <c r="J24" s="39"/>
    </row>
    <row r="25" customFormat="false" ht="15" hidden="false" customHeight="true" outlineLevel="0" collapsed="false">
      <c r="A25" s="22" t="s">
        <v>567</v>
      </c>
      <c r="B25" s="22"/>
      <c r="C25" s="22"/>
      <c r="D25" s="35" t="n">
        <v>44590</v>
      </c>
      <c r="E25" s="39" t="s">
        <v>291</v>
      </c>
      <c r="F25" s="39"/>
      <c r="G25" s="39"/>
      <c r="H25" s="39"/>
      <c r="I25" s="39"/>
      <c r="J25" s="39"/>
    </row>
    <row r="26" customFormat="false" ht="15" hidden="false" customHeight="true" outlineLevel="0" collapsed="false">
      <c r="A26" s="22" t="s">
        <v>292</v>
      </c>
      <c r="B26" s="22"/>
      <c r="C26" s="22"/>
      <c r="D26" s="35" t="n">
        <v>0</v>
      </c>
      <c r="E26" s="36"/>
      <c r="F26" s="36"/>
      <c r="G26" s="36"/>
      <c r="H26" s="36"/>
      <c r="I26" s="36"/>
      <c r="J26" s="36"/>
    </row>
    <row r="27" customFormat="false" ht="15" hidden="false" customHeight="true" outlineLevel="0" collapsed="false">
      <c r="A27" s="22" t="s">
        <v>293</v>
      </c>
      <c r="B27" s="22"/>
      <c r="C27" s="22"/>
      <c r="D27" s="35" t="n">
        <v>207730</v>
      </c>
      <c r="E27" s="36"/>
      <c r="F27" s="36"/>
      <c r="G27" s="36"/>
      <c r="H27" s="36"/>
      <c r="I27" s="36"/>
      <c r="J27" s="36"/>
    </row>
    <row r="28" customFormat="false" ht="15" hidden="false" customHeight="true" outlineLevel="0" collapsed="false">
      <c r="A28" s="22" t="s">
        <v>294</v>
      </c>
      <c r="B28" s="22"/>
      <c r="C28" s="22"/>
      <c r="D28" s="38" t="n">
        <v>0.0637404111690703</v>
      </c>
      <c r="E28" s="39" t="s">
        <v>295</v>
      </c>
      <c r="F28" s="39"/>
      <c r="G28" s="39"/>
      <c r="H28" s="39"/>
      <c r="I28" s="39"/>
      <c r="J28" s="39"/>
    </row>
    <row r="29" customFormat="false" ht="27.75" hidden="false" customHeight="true" outlineLevel="0" collapsed="false">
      <c r="A29" s="40" t="s">
        <v>568</v>
      </c>
      <c r="B29" s="40"/>
      <c r="C29" s="40"/>
      <c r="D29" s="40"/>
      <c r="E29" s="40"/>
      <c r="F29" s="40"/>
      <c r="G29" s="40"/>
      <c r="H29" s="40"/>
      <c r="I29" s="40"/>
      <c r="J29" s="40"/>
    </row>
    <row r="30" customFormat="false" ht="15" hidden="false" customHeight="false" outlineLevel="0" collapsed="false">
      <c r="A30" s="41" t="s">
        <v>569</v>
      </c>
      <c r="B30" s="41"/>
      <c r="C30" s="41"/>
      <c r="D30" s="41"/>
      <c r="E30" s="41"/>
      <c r="F30" s="41"/>
      <c r="G30" s="41"/>
      <c r="H30" s="41"/>
      <c r="I30" s="41"/>
      <c r="J30" s="41"/>
    </row>
    <row r="32" customFormat="false" ht="15" hidden="false" customHeight="false" outlineLevel="0" collapsed="false">
      <c r="A32" s="25" t="s">
        <v>298</v>
      </c>
    </row>
    <row r="33" customFormat="false" ht="15" hidden="false" customHeight="true" outlineLevel="0" collapsed="false">
      <c r="A33" s="22" t="s">
        <v>299</v>
      </c>
      <c r="B33" s="22"/>
      <c r="C33" s="22"/>
      <c r="D33" s="42" t="n">
        <v>0</v>
      </c>
      <c r="E33" s="43" t="s">
        <v>300</v>
      </c>
      <c r="F33" s="43"/>
      <c r="G33" s="43"/>
      <c r="H33" s="43"/>
      <c r="I33" s="43"/>
      <c r="J33" s="43"/>
    </row>
    <row r="34" customFormat="false" ht="15" hidden="false" customHeight="true" outlineLevel="0" collapsed="false">
      <c r="A34" s="22" t="s">
        <v>301</v>
      </c>
      <c r="B34" s="22"/>
      <c r="C34" s="22"/>
      <c r="D34" s="34" t="s">
        <v>302</v>
      </c>
      <c r="E34" s="43" t="s">
        <v>303</v>
      </c>
      <c r="F34" s="43"/>
      <c r="G34" s="43"/>
      <c r="H34" s="43"/>
      <c r="I34" s="43"/>
      <c r="J34" s="43"/>
    </row>
    <row r="35" customFormat="false" ht="15" hidden="false" customHeight="true" outlineLevel="0" collapsed="false">
      <c r="A35" s="22" t="s">
        <v>304</v>
      </c>
      <c r="B35" s="22"/>
      <c r="C35" s="22"/>
      <c r="D35" s="44"/>
      <c r="E35" s="43" t="s">
        <v>305</v>
      </c>
      <c r="F35" s="43"/>
      <c r="G35" s="43"/>
      <c r="H35" s="43"/>
      <c r="I35" s="43"/>
      <c r="J35" s="43"/>
    </row>
    <row r="36" customFormat="false" ht="23.85" hidden="false" customHeight="true" outlineLevel="0" collapsed="false">
      <c r="A36" s="22" t="s">
        <v>306</v>
      </c>
      <c r="B36" s="22"/>
      <c r="C36" s="22"/>
      <c r="D36" s="45" t="str">
        <f aca="false">IF(OR($D$33="",E18=""),"",IF($D$33=0,"— (no % rent)",E18/$D$33))</f>
        <v>— (no % rent)</v>
      </c>
      <c r="E36" s="43" t="s">
        <v>307</v>
      </c>
      <c r="F36" s="43"/>
      <c r="G36" s="43"/>
      <c r="H36" s="43"/>
      <c r="I36" s="43"/>
      <c r="J36" s="43"/>
    </row>
    <row r="37" customFormat="false" ht="23.85" hidden="false" customHeight="true" outlineLevel="0" collapsed="false">
      <c r="A37" s="22" t="s">
        <v>308</v>
      </c>
      <c r="B37" s="22"/>
      <c r="C37" s="22"/>
      <c r="D37" s="45" t="str">
        <f aca="false">IF($D$33="","",IF($D$33=0,"— (no % rent)",IF($D$35&lt;&gt;"",$D$35,IF(E18="","",E18/$D$33))))</f>
        <v>— (no % rent)</v>
      </c>
      <c r="E37" s="36"/>
      <c r="F37" s="36"/>
      <c r="G37" s="36"/>
      <c r="H37" s="36"/>
      <c r="I37" s="36"/>
      <c r="J37" s="36"/>
    </row>
    <row r="38" customFormat="false" ht="15" hidden="false" customHeight="true" outlineLevel="0" collapsed="false">
      <c r="A38" s="22" t="s">
        <v>309</v>
      </c>
      <c r="B38" s="22"/>
      <c r="C38" s="22"/>
      <c r="D38" s="45" t="n">
        <f aca="false">IF(OR($D$33="",D13=""),"",IF($D$33=0,0,IF($D$37="","",MAX(0,D13-$D$37)*$D$33)))</f>
        <v>0</v>
      </c>
      <c r="E38" s="36"/>
      <c r="F38" s="36"/>
      <c r="G38" s="36"/>
      <c r="H38" s="36"/>
      <c r="I38" s="36"/>
      <c r="J38" s="36"/>
    </row>
    <row r="39" customFormat="false" ht="15" hidden="false" customHeight="true" outlineLevel="0" collapsed="false">
      <c r="A39" s="22" t="s">
        <v>310</v>
      </c>
      <c r="B39" s="22"/>
      <c r="C39" s="22"/>
      <c r="D39" s="45" t="n">
        <f aca="false">IF(OR(D38="",E18=""),"",E18+D38)</f>
        <v>163140</v>
      </c>
      <c r="E39" s="36"/>
      <c r="F39" s="36"/>
      <c r="G39" s="36"/>
      <c r="H39" s="36"/>
      <c r="I39" s="36"/>
      <c r="J39" s="36"/>
    </row>
    <row r="40" customFormat="false" ht="15" hidden="false" customHeight="true" outlineLevel="0" collapsed="false">
      <c r="A40" s="22" t="s">
        <v>311</v>
      </c>
      <c r="B40" s="22"/>
      <c r="C40" s="22"/>
      <c r="D40" s="46" t="n">
        <f aca="false">IF(OR(D39="",D13=""),"",D39/D13)</f>
        <v>0.0500583000920528</v>
      </c>
      <c r="E40" s="36"/>
      <c r="F40" s="36"/>
      <c r="G40" s="36"/>
      <c r="H40" s="36"/>
      <c r="I40" s="36"/>
      <c r="J40" s="36"/>
    </row>
    <row r="42" customFormat="false" ht="15" hidden="false" customHeight="false" outlineLevel="0" collapsed="false">
      <c r="A42" s="25" t="s">
        <v>312</v>
      </c>
    </row>
    <row r="43" customFormat="false" ht="22.35" hidden="false" customHeight="false" outlineLevel="0" collapsed="false">
      <c r="A43" s="26" t="s">
        <v>313</v>
      </c>
      <c r="B43" s="26" t="s">
        <v>314</v>
      </c>
      <c r="C43" s="26" t="s">
        <v>315</v>
      </c>
      <c r="D43" s="26" t="s">
        <v>316</v>
      </c>
      <c r="E43" s="26" t="s">
        <v>317</v>
      </c>
      <c r="F43" s="26" t="s">
        <v>318</v>
      </c>
      <c r="G43" s="26" t="s">
        <v>319</v>
      </c>
      <c r="H43" s="26" t="s">
        <v>269</v>
      </c>
      <c r="I43" s="26" t="s">
        <v>320</v>
      </c>
      <c r="J43" s="26" t="s">
        <v>321</v>
      </c>
    </row>
    <row r="44" customFormat="false" ht="32.8" hidden="false" customHeight="false" outlineLevel="0" collapsed="false">
      <c r="A44" s="47" t="s">
        <v>171</v>
      </c>
      <c r="B44" s="47" t="s">
        <v>570</v>
      </c>
      <c r="C44" s="47" t="s">
        <v>236</v>
      </c>
      <c r="D44" s="47" t="s">
        <v>571</v>
      </c>
      <c r="E44" s="48"/>
      <c r="F44" s="47" t="s">
        <v>175</v>
      </c>
      <c r="G44" s="47" t="s">
        <v>572</v>
      </c>
      <c r="H44" s="49" t="n">
        <v>110000</v>
      </c>
      <c r="I44" s="47" t="s">
        <v>334</v>
      </c>
      <c r="J44" s="47" t="s">
        <v>573</v>
      </c>
    </row>
    <row r="45" customFormat="false" ht="22.35" hidden="false" customHeight="false" outlineLevel="0" collapsed="false">
      <c r="A45" s="47" t="s">
        <v>574</v>
      </c>
      <c r="B45" s="47" t="s">
        <v>575</v>
      </c>
      <c r="C45" s="47" t="s">
        <v>236</v>
      </c>
      <c r="D45" s="47" t="s">
        <v>576</v>
      </c>
      <c r="E45" s="48"/>
      <c r="F45" s="47" t="s">
        <v>577</v>
      </c>
      <c r="G45" s="47" t="s">
        <v>236</v>
      </c>
      <c r="H45" s="48"/>
      <c r="I45" s="51" t="s">
        <v>342</v>
      </c>
      <c r="J45" s="47" t="s">
        <v>578</v>
      </c>
    </row>
    <row r="46" customFormat="false" ht="15" hidden="false" customHeight="false" outlineLevel="0" collapsed="false">
      <c r="A46" s="52" t="s">
        <v>344</v>
      </c>
      <c r="B46" s="52"/>
      <c r="C46" s="52"/>
      <c r="D46" s="52"/>
      <c r="E46" s="52"/>
      <c r="F46" s="52"/>
      <c r="G46" s="52"/>
      <c r="H46" s="53" t="n">
        <f aca="false">IF(COUNT(H44:H45)=0,"",AVERAGE(H44:H45))</f>
        <v>110000</v>
      </c>
      <c r="I46" s="52" t="str">
        <f aca="false">IF(COUNT(H44:H45)=0,"",TEXT(MIN(H44:H45),"$#,##0")&amp;" – "&amp;TEXT(MAX(H44:H45),"$#,##0"))</f>
        <v>$110,000 – $110,000</v>
      </c>
      <c r="J46" s="36"/>
    </row>
    <row r="48" customFormat="false" ht="15" hidden="false" customHeight="false" outlineLevel="0" collapsed="false">
      <c r="A48" s="25" t="s">
        <v>345</v>
      </c>
    </row>
    <row r="49" customFormat="false" ht="53.7" hidden="false" customHeight="true" outlineLevel="0" collapsed="false">
      <c r="A49" s="26" t="s">
        <v>346</v>
      </c>
      <c r="B49" s="26"/>
      <c r="C49" s="26"/>
      <c r="D49" s="26" t="s">
        <v>347</v>
      </c>
      <c r="E49" s="26" t="s">
        <v>348</v>
      </c>
      <c r="F49" s="26" t="s">
        <v>349</v>
      </c>
      <c r="G49" s="26" t="s">
        <v>350</v>
      </c>
      <c r="H49" s="54" t="s">
        <v>351</v>
      </c>
    </row>
    <row r="50" customFormat="false" ht="68.65" hidden="false" customHeight="true" outlineLevel="0" collapsed="false">
      <c r="A50" s="22" t="s">
        <v>352</v>
      </c>
      <c r="B50" s="22"/>
      <c r="C50" s="22"/>
      <c r="D50" s="55" t="s">
        <v>353</v>
      </c>
      <c r="E50" s="56"/>
      <c r="F50" s="56"/>
      <c r="G50" s="56"/>
      <c r="H50" s="56"/>
    </row>
    <row r="51" customFormat="false" ht="15" hidden="false" customHeight="true" outlineLevel="0" collapsed="false">
      <c r="A51" s="22" t="s">
        <v>354</v>
      </c>
      <c r="B51" s="22"/>
      <c r="C51" s="22"/>
      <c r="D51" s="57" t="n">
        <v>163140</v>
      </c>
      <c r="E51" s="57"/>
      <c r="F51" s="57"/>
      <c r="G51" s="57"/>
      <c r="H51" s="57"/>
    </row>
    <row r="52" customFormat="false" ht="15" hidden="false" customHeight="true" outlineLevel="0" collapsed="false">
      <c r="A52" s="22" t="s">
        <v>355</v>
      </c>
      <c r="B52" s="22"/>
      <c r="C52" s="22"/>
      <c r="D52" s="58" t="n">
        <v>0.02</v>
      </c>
      <c r="E52" s="58"/>
      <c r="F52" s="58"/>
      <c r="G52" s="58"/>
      <c r="H52" s="58"/>
    </row>
    <row r="53" customFormat="false" ht="15" hidden="false" customHeight="true" outlineLevel="0" collapsed="false">
      <c r="A53" s="22" t="s">
        <v>356</v>
      </c>
      <c r="B53" s="22"/>
      <c r="C53" s="22"/>
      <c r="D53" s="56" t="n">
        <v>5</v>
      </c>
      <c r="E53" s="56"/>
      <c r="F53" s="56"/>
      <c r="G53" s="56"/>
      <c r="H53" s="56"/>
    </row>
    <row r="54" customFormat="false" ht="15" hidden="false" customHeight="true" outlineLevel="0" collapsed="false">
      <c r="A54" s="22" t="s">
        <v>357</v>
      </c>
      <c r="B54" s="22"/>
      <c r="C54" s="22"/>
      <c r="D54" s="59" t="n">
        <v>20</v>
      </c>
      <c r="E54" s="59"/>
      <c r="F54" s="59"/>
      <c r="G54" s="59"/>
      <c r="H54" s="59"/>
    </row>
    <row r="55" customFormat="false" ht="15" hidden="false" customHeight="true" outlineLevel="0" collapsed="false">
      <c r="A55" s="22" t="s">
        <v>358</v>
      </c>
      <c r="B55" s="22"/>
      <c r="C55" s="22"/>
      <c r="D55" s="60" t="n">
        <f aca="false">IF(OR(D51="",E18=""),"",D51-E18)</f>
        <v>0</v>
      </c>
      <c r="E55" s="60" t="str">
        <f aca="false">IF(OR(E51="",E18=""),"",E51-E18)</f>
        <v/>
      </c>
      <c r="F55" s="60" t="str">
        <f aca="false">IF(OR(F51="",E18=""),"",F51-E18)</f>
        <v/>
      </c>
      <c r="G55" s="60" t="str">
        <f aca="false">IF(OR(G51="",E18=""),"",G51-E18)</f>
        <v/>
      </c>
      <c r="H55" s="60" t="str">
        <f aca="false">IF(OR(H51="",E18=""),"",H51-E18)</f>
        <v/>
      </c>
    </row>
    <row r="56" customFormat="false" ht="15" hidden="false" customHeight="true" outlineLevel="0" collapsed="false">
      <c r="A56" s="22" t="s">
        <v>359</v>
      </c>
      <c r="B56" s="22"/>
      <c r="C56" s="22"/>
      <c r="D56" s="61" t="n">
        <f aca="false">IF(OR(D51="",E18=""),"",(D51-E18)/E18)</f>
        <v>0</v>
      </c>
      <c r="E56" s="61" t="str">
        <f aca="false">IF(OR(E51="",E18=""),"",(E51-E18)/E18)</f>
        <v/>
      </c>
      <c r="F56" s="61" t="str">
        <f aca="false">IF(OR(F51="",E18=""),"",(F51-E18)/E18)</f>
        <v/>
      </c>
      <c r="G56" s="61" t="str">
        <f aca="false">IF(OR(G51="",E18=""),"",(G51-E18)/E18)</f>
        <v/>
      </c>
      <c r="H56" s="61" t="str">
        <f aca="false">IF(OR(H51="",E18=""),"",(H51-E18)/E18)</f>
        <v/>
      </c>
    </row>
    <row r="57" customFormat="false" ht="15" hidden="false" customHeight="true" outlineLevel="0" collapsed="false">
      <c r="A57" s="22" t="s">
        <v>360</v>
      </c>
      <c r="B57" s="22"/>
      <c r="C57" s="22"/>
      <c r="D57" s="62" t="n">
        <f aca="false">IF(OR(D51="",D13=""),"",D51/D13)</f>
        <v>0.0500583000920528</v>
      </c>
      <c r="E57" s="62" t="str">
        <f aca="false">IF(OR(E51="",D13=""),"",E51/D13)</f>
        <v/>
      </c>
      <c r="F57" s="62" t="str">
        <f aca="false">IF(OR(F51="",D13=""),"",F51/D13)</f>
        <v/>
      </c>
      <c r="G57" s="62" t="str">
        <f aca="false">IF(OR(G51="",D13=""),"",G51/D13)</f>
        <v/>
      </c>
      <c r="H57" s="62" t="str">
        <f aca="false">IF(OR(H51="",D13=""),"",H51/D13)</f>
        <v/>
      </c>
    </row>
    <row r="58" customFormat="false" ht="15" hidden="false" customHeight="true" outlineLevel="0" collapsed="false">
      <c r="A58" s="22" t="s">
        <v>361</v>
      </c>
      <c r="B58" s="22"/>
      <c r="C58" s="22"/>
      <c r="D58" s="61" t="n">
        <f aca="false">IF(OR(D51="",H46=""),"",(D51-H46)/H46)</f>
        <v>0.483090909090909</v>
      </c>
      <c r="E58" s="61" t="str">
        <f aca="false">IF(OR(E51="",H46=""),"",(E51-H46)/H46)</f>
        <v/>
      </c>
      <c r="F58" s="61" t="str">
        <f aca="false">IF(OR(F51="",H46=""),"",(F51-H46)/H46)</f>
        <v/>
      </c>
      <c r="G58" s="61" t="str">
        <f aca="false">IF(OR(G51="",H46=""),"",(G51-H46)/H46)</f>
        <v/>
      </c>
      <c r="H58" s="61" t="str">
        <f aca="false">IF(OR(H51="",H46=""),"",(H51-H46)/H46)</f>
        <v/>
      </c>
    </row>
    <row r="59" customFormat="false" ht="15" hidden="false" customHeight="true" outlineLevel="0" collapsed="false">
      <c r="A59" s="22" t="s">
        <v>362</v>
      </c>
      <c r="B59" s="22"/>
      <c r="C59" s="22"/>
      <c r="D59" s="63" t="n">
        <f aca="true">IF(D51="","",SUMPRODUCT(D51*(1+IF(D52="",0,D52))^ROUNDDOWN((ROW(INDIRECT("1:10"))-1)/IF(D53="",5,D53),0)))</f>
        <v>1647714</v>
      </c>
      <c r="E59" s="63" t="str">
        <f aca="true">IF(E51="","",SUMPRODUCT(E51*(1+IF(E52="",0,E52))^ROUNDDOWN((ROW(INDIRECT("1:10"))-1)/IF(E53="",5,E53),0)))</f>
        <v/>
      </c>
      <c r="F59" s="63" t="str">
        <f aca="true">IF(F51="","",SUMPRODUCT(F51*(1+IF(F52="",0,F52))^ROUNDDOWN((ROW(INDIRECT("1:10"))-1)/IF(F53="",5,F53),0)))</f>
        <v/>
      </c>
      <c r="G59" s="63" t="str">
        <f aca="true">IF(G51="","",SUMPRODUCT(G51*(1+IF(G52="",0,G52))^ROUNDDOWN((ROW(INDIRECT("1:10"))-1)/IF(G53="",5,G53),0)))</f>
        <v/>
      </c>
      <c r="H59" s="63" t="str">
        <f aca="true">IF(H51="","",SUMPRODUCT(H51*(1+IF(H52="",0,H52))^ROUNDDOWN((ROW(INDIRECT("1:10"))-1)/IF(H53="",5,H53),0)))</f>
        <v/>
      </c>
    </row>
    <row r="60" customFormat="false" ht="15" hidden="false" customHeight="true" outlineLevel="0" collapsed="false">
      <c r="A60" s="22" t="s">
        <v>363</v>
      </c>
      <c r="B60" s="22"/>
      <c r="C60" s="22"/>
      <c r="D60" s="60" t="n">
        <f aca="false">IF(OR(D59="",E19=""),"",D59-E19)</f>
        <v>16314</v>
      </c>
      <c r="E60" s="60" t="str">
        <f aca="false">IF(OR(E59="",E19=""),"",E59-E19)</f>
        <v/>
      </c>
      <c r="F60" s="60" t="str">
        <f aca="false">IF(OR(F59="",E19=""),"",F59-E19)</f>
        <v/>
      </c>
      <c r="G60" s="60" t="str">
        <f aca="false">IF(OR(G59="",E19=""),"",G59-E19)</f>
        <v/>
      </c>
      <c r="H60" s="60" t="str">
        <f aca="false">IF(OR(H59="",E19=""),"",H59-E19)</f>
        <v/>
      </c>
    </row>
    <row r="61" customFormat="false" ht="23.85" hidden="false" customHeight="true" outlineLevel="0" collapsed="false">
      <c r="A61" s="22" t="s">
        <v>364</v>
      </c>
      <c r="B61" s="22"/>
      <c r="C61" s="22"/>
      <c r="D61" s="58"/>
      <c r="E61" s="58"/>
      <c r="F61" s="58"/>
      <c r="G61" s="58"/>
      <c r="H61" s="58"/>
    </row>
    <row r="62" customFormat="false" ht="23.85" hidden="false" customHeight="true" outlineLevel="0" collapsed="false">
      <c r="A62" s="22" t="s">
        <v>365</v>
      </c>
      <c r="B62" s="22"/>
      <c r="C62" s="22"/>
      <c r="D62" s="57"/>
      <c r="E62" s="57"/>
      <c r="F62" s="57"/>
      <c r="G62" s="57"/>
      <c r="H62" s="57"/>
    </row>
    <row r="63" customFormat="false" ht="15" hidden="false" customHeight="true" outlineLevel="0" collapsed="false">
      <c r="A63" s="22" t="s">
        <v>366</v>
      </c>
      <c r="B63" s="22"/>
      <c r="C63" s="22"/>
      <c r="D63" s="63" t="str">
        <f aca="false">IF(OR(D51="",AND(D61="",$D$33="")),"",IF(IF(D61="",IF($D$33="",0,$D$33),D61)=0,"— (% rent removed)",IF(D62&lt;&gt;"",D62,IF($D$35&lt;&gt;"",$D$35,D51/IF(D61="",IF($D$33="",0,$D$33),D61)))))</f>
        <v>— (% rent removed)</v>
      </c>
      <c r="E63" s="63" t="str">
        <f aca="false">IF(OR(E51="",AND(E61="",$D$33="")),"",IF(IF(E61="",IF($D$33="",0,$D$33),E61)=0,"— (% rent removed)",IF(E62&lt;&gt;"",E62,IF($D$35&lt;&gt;"",$D$35,E51/IF(E61="",IF($D$33="",0,$D$33),E61)))))</f>
        <v/>
      </c>
      <c r="F63" s="63" t="str">
        <f aca="false">IF(OR(F51="",AND(F61="",$D$33="")),"",IF(IF(F61="",IF($D$33="",0,$D$33),F61)=0,"— (% rent removed)",IF(F62&lt;&gt;"",F62,IF($D$35&lt;&gt;"",$D$35,F51/IF(F61="",IF($D$33="",0,$D$33),F61)))))</f>
        <v/>
      </c>
      <c r="G63" s="63" t="str">
        <f aca="false">IF(OR(G51="",AND(G61="",$D$33="")),"",IF(IF(G61="",IF($D$33="",0,$D$33),G61)=0,"— (% rent removed)",IF(G62&lt;&gt;"",G62,IF($D$35&lt;&gt;"",$D$35,G51/IF(G61="",IF($D$33="",0,$D$33),G61)))))</f>
        <v/>
      </c>
      <c r="H63" s="63" t="str">
        <f aca="false">IF(OR(H51="",AND(H61="",$D$33="")),"",IF(IF(H61="",IF($D$33="",0,$D$33),H61)=0,"— (% rent removed)",IF(H62&lt;&gt;"",H62,IF($D$35&lt;&gt;"",$D$35,H51/IF(H61="",IF($D$33="",0,$D$33),H61)))))</f>
        <v/>
      </c>
    </row>
    <row r="64" customFormat="false" ht="15" hidden="false" customHeight="true" outlineLevel="0" collapsed="false">
      <c r="A64" s="22" t="s">
        <v>367</v>
      </c>
      <c r="B64" s="22"/>
      <c r="C64" s="22"/>
      <c r="D64" s="63" t="n">
        <f aca="false">IF(OR(D51="",AND(D61="",$D$33=""),D13=""),"",IF(IF(D61="",IF($D$33="",0,$D$33),D61)=0,0,MAX(0,D13-D63)*IF(D61="",IF($D$33="",0,$D$33),D61)))</f>
        <v>0</v>
      </c>
      <c r="E64" s="63" t="str">
        <f aca="false">IF(OR(E51="",AND(E61="",$D$33=""),D13=""),"",IF(IF(E61="",IF($D$33="",0,$D$33),E61)=0,0,MAX(0,D13-E63)*IF(E61="",IF($D$33="",0,$D$33),E61)))</f>
        <v/>
      </c>
      <c r="F64" s="63" t="str">
        <f aca="false">IF(OR(F51="",AND(F61="",$D$33=""),D13=""),"",IF(IF(F61="",IF($D$33="",0,$D$33),F61)=0,0,MAX(0,D13-F63)*IF(F61="",IF($D$33="",0,$D$33),F61)))</f>
        <v/>
      </c>
      <c r="G64" s="63" t="str">
        <f aca="false">IF(OR(G51="",AND(G61="",$D$33=""),D13=""),"",IF(IF(G61="",IF($D$33="",0,$D$33),G61)=0,0,MAX(0,D13-G63)*IF(G61="",IF($D$33="",0,$D$33),G61)))</f>
        <v/>
      </c>
      <c r="H64" s="63" t="str">
        <f aca="false">IF(OR(H51="",AND(H61="",$D$33=""),D13=""),"",IF(IF(H61="",IF($D$33="",0,$D$33),H61)=0,0,MAX(0,D13-H63)*IF(H61="",IF($D$33="",0,$D$33),H61)))</f>
        <v/>
      </c>
    </row>
    <row r="65" customFormat="false" ht="15" hidden="false" customHeight="true" outlineLevel="0" collapsed="false">
      <c r="A65" s="22" t="s">
        <v>368</v>
      </c>
      <c r="B65" s="22"/>
      <c r="C65" s="22"/>
      <c r="D65" s="63" t="n">
        <f aca="false">IF(OR(D51="",D64=""),"",D51+D64)</f>
        <v>163140</v>
      </c>
      <c r="E65" s="63" t="str">
        <f aca="false">IF(OR(E51="",E64=""),"",E51+E64)</f>
        <v/>
      </c>
      <c r="F65" s="63" t="str">
        <f aca="false">IF(OR(F51="",F64=""),"",F51+F64)</f>
        <v/>
      </c>
      <c r="G65" s="63" t="str">
        <f aca="false">IF(OR(G51="",G64=""),"",G51+G64)</f>
        <v/>
      </c>
      <c r="H65" s="63" t="str">
        <f aca="false">IF(OR(H51="",H64=""),"",H51+H64)</f>
        <v/>
      </c>
    </row>
    <row r="66" customFormat="false" ht="15" hidden="false" customHeight="true" outlineLevel="0" collapsed="false">
      <c r="A66" s="22" t="s">
        <v>369</v>
      </c>
      <c r="B66" s="22"/>
      <c r="C66" s="22"/>
      <c r="D66" s="62" t="n">
        <f aca="false">IF(OR(D65="",D13=""),"",D65/D13)</f>
        <v>0.0500583000920528</v>
      </c>
      <c r="E66" s="62" t="str">
        <f aca="false">IF(OR(E65="",D13=""),"",E65/D13)</f>
        <v/>
      </c>
      <c r="F66" s="62" t="str">
        <f aca="false">IF(OR(F65="",D13=""),"",F65/D13)</f>
        <v/>
      </c>
      <c r="G66" s="62" t="str">
        <f aca="false">IF(OR(G65="",D13=""),"",G65/D13)</f>
        <v/>
      </c>
      <c r="H66" s="62" t="str">
        <f aca="false">IF(OR(H65="",D13=""),"",H65/D13)</f>
        <v/>
      </c>
    </row>
    <row r="67" customFormat="false" ht="23.85" hidden="false" customHeight="true" outlineLevel="0" collapsed="false">
      <c r="A67" s="22" t="s">
        <v>370</v>
      </c>
      <c r="B67" s="22"/>
      <c r="C67" s="22"/>
      <c r="D67" s="64" t="n">
        <f aca="false">IF(D65="","",(1115427.26-D65)/3255013.22)</f>
        <v>0.292560181982917</v>
      </c>
      <c r="E67" s="64" t="str">
        <f aca="false">IF(E65="","",(1115427.26-E65)/3255013.22)</f>
        <v/>
      </c>
      <c r="F67" s="64" t="str">
        <f aca="false">IF(F65="","",(1115427.26-F65)/3255013.22)</f>
        <v/>
      </c>
      <c r="G67" s="64" t="str">
        <f aca="false">IF(G65="","",(1115427.26-G65)/3255013.22)</f>
        <v/>
      </c>
      <c r="H67" s="64" t="str">
        <f aca="false">IF(H65="","",(1115427.26-H65)/3255013.22)</f>
        <v/>
      </c>
    </row>
    <row r="68" customFormat="false" ht="15" hidden="false" customHeight="true" outlineLevel="0" collapsed="false">
      <c r="A68" s="22" t="s">
        <v>371</v>
      </c>
      <c r="B68" s="22"/>
      <c r="C68" s="22"/>
      <c r="D68" s="63" t="n">
        <f aca="true">IF(OR(D51="",AND(D61="",$D$33=""),D13=""),"",IF(IF(D61="",IF($D$33="",0,$D$33),D61)=0,0,SUMPRODUCT(((D13*1.02^(ROW(INDIRECT("1:10"))-1))-(IF(D62&lt;&gt;"",D62,IF($D$35&lt;&gt;"",$D$35,(D51*(1+IF(D52="",0,D52))^ROUNDDOWN((ROW(INDIRECT("1:10"))-1)/IF(D53="",5,D53),0))/IF(D61="",IF($D$33="",0,$D$33),D61))))&gt;0)*((D13*1.02^(ROW(INDIRECT("1:10"))-1))-(IF(D62&lt;&gt;"",D62,IF($D$35&lt;&gt;"",$D$35,(D51*(1+IF(D52="",0,D52))^ROUNDDOWN((ROW(INDIRECT("1:10"))-1)/IF(D53="",5,D53),0))/IF(D61="",IF($D$33="",0,$D$33),D61))))))*IF(D61="",IF($D$33="",0,$D$33),D61)))</f>
        <v>0</v>
      </c>
      <c r="E68" s="63" t="str">
        <f aca="true">IF(OR(E51="",AND(E61="",$D$33=""),D13=""),"",IF(IF(E61="",IF($D$33="",0,$D$33),E61)=0,0,SUMPRODUCT(((D13*1.02^(ROW(INDIRECT("1:10"))-1))-(IF(E62&lt;&gt;"",E62,IF($D$35&lt;&gt;"",$D$35,(E51*(1+IF(E52="",0,E52))^ROUNDDOWN((ROW(INDIRECT("1:10"))-1)/IF(E53="",5,E53),0))/IF(E61="",IF($D$33="",0,$D$33),E61))))&gt;0)*((D13*1.02^(ROW(INDIRECT("1:10"))-1))-(IF(E62&lt;&gt;"",E62,IF($D$35&lt;&gt;"",$D$35,(E51*(1+IF(E52="",0,E52))^ROUNDDOWN((ROW(INDIRECT("1:10"))-1)/IF(E53="",5,E53),0))/IF(E61="",IF($D$33="",0,$D$33),E61))))))*IF(E61="",IF($D$33="",0,$D$33),E61)))</f>
        <v/>
      </c>
      <c r="F68" s="63" t="str">
        <f aca="true">IF(OR(F51="",AND(F61="",$D$33=""),D13=""),"",IF(IF(F61="",IF($D$33="",0,$D$33),F61)=0,0,SUMPRODUCT(((D13*1.02^(ROW(INDIRECT("1:10"))-1))-(IF(F62&lt;&gt;"",F62,IF($D$35&lt;&gt;"",$D$35,(F51*(1+IF(F52="",0,F52))^ROUNDDOWN((ROW(INDIRECT("1:10"))-1)/IF(F53="",5,F53),0))/IF(F61="",IF($D$33="",0,$D$33),F61))))&gt;0)*((D13*1.02^(ROW(INDIRECT("1:10"))-1))-(IF(F62&lt;&gt;"",F62,IF($D$35&lt;&gt;"",$D$35,(F51*(1+IF(F52="",0,F52))^ROUNDDOWN((ROW(INDIRECT("1:10"))-1)/IF(F53="",5,F53),0))/IF(F61="",IF($D$33="",0,$D$33),F61))))))*IF(F61="",IF($D$33="",0,$D$33),F61)))</f>
        <v/>
      </c>
      <c r="G68" s="63" t="str">
        <f aca="true">IF(OR(G51="",AND(G61="",$D$33=""),D13=""),"",IF(IF(G61="",IF($D$33="",0,$D$33),G61)=0,0,SUMPRODUCT(((D13*1.02^(ROW(INDIRECT("1:10"))-1))-(IF(G62&lt;&gt;"",G62,IF($D$35&lt;&gt;"",$D$35,(G51*(1+IF(G52="",0,G52))^ROUNDDOWN((ROW(INDIRECT("1:10"))-1)/IF(G53="",5,G53),0))/IF(G61="",IF($D$33="",0,$D$33),G61))))&gt;0)*((D13*1.02^(ROW(INDIRECT("1:10"))-1))-(IF(G62&lt;&gt;"",G62,IF($D$35&lt;&gt;"",$D$35,(G51*(1+IF(G52="",0,G52))^ROUNDDOWN((ROW(INDIRECT("1:10"))-1)/IF(G53="",5,G53),0))/IF(G61="",IF($D$33="",0,$D$33),G61))))))*IF(G61="",IF($D$33="",0,$D$33),G61)))</f>
        <v/>
      </c>
      <c r="H68" s="63" t="str">
        <f aca="true">IF(OR(H51="",AND(H61="",$D$33=""),D13=""),"",IF(IF(H61="",IF($D$33="",0,$D$33),H61)=0,0,SUMPRODUCT(((D13*1.02^(ROW(INDIRECT("1:10"))-1))-(IF(H62&lt;&gt;"",H62,IF($D$35&lt;&gt;"",$D$35,(H51*(1+IF(H52="",0,H52))^ROUNDDOWN((ROW(INDIRECT("1:10"))-1)/IF(H53="",5,H53),0))/IF(H61="",IF($D$33="",0,$D$33),H61))))&gt;0)*((D13*1.02^(ROW(INDIRECT("1:10"))-1))-(IF(H62&lt;&gt;"",H62,IF($D$35&lt;&gt;"",$D$35,(H51*(1+IF(H52="",0,H52))^ROUNDDOWN((ROW(INDIRECT("1:10"))-1)/IF(H53="",5,H53),0))/IF(H61="",IF($D$33="",0,$D$33),H61))))))*IF(H61="",IF($D$33="",0,$D$33),H61)))</f>
        <v/>
      </c>
    </row>
    <row r="69" customFormat="false" ht="15" hidden="false" customHeight="true" outlineLevel="0" collapsed="false">
      <c r="A69" s="22" t="s">
        <v>372</v>
      </c>
      <c r="B69" s="22"/>
      <c r="C69" s="22"/>
      <c r="D69" s="63" t="n">
        <f aca="false">IF(OR(D59="",D68=""),"",D59+D68)</f>
        <v>1647714</v>
      </c>
      <c r="E69" s="63" t="str">
        <f aca="false">IF(OR(E59="",E68=""),"",E59+E68)</f>
        <v/>
      </c>
      <c r="F69" s="63" t="str">
        <f aca="false">IF(OR(F59="",F68=""),"",F59+F68)</f>
        <v/>
      </c>
      <c r="G69" s="63" t="str">
        <f aca="false">IF(OR(G59="",G68=""),"",G59+G68)</f>
        <v/>
      </c>
      <c r="H69" s="63" t="str">
        <f aca="false">IF(OR(H59="",H68=""),"",H59+H68)</f>
        <v/>
      </c>
    </row>
    <row r="70" customFormat="false" ht="23.85" hidden="false" customHeight="true" outlineLevel="0" collapsed="false">
      <c r="A70" s="22" t="s">
        <v>373</v>
      </c>
      <c r="B70" s="22"/>
      <c r="C70" s="22"/>
      <c r="D70" s="65" t="n">
        <f aca="true">IF(D51="","",SUMPRODUCT(D51*(1+IF(D52="",0,D52))^ROUNDDOWN((ROW(INDIRECT("1:"&amp;IF(D54="",10,D54)))-1)/IF(D53="",5,D53),0))+IF(OR(D13="",IF(D61="",IF($D$33="",0,$D$33),D61)=0),0,SUMPRODUCT(((D13*1.02^(ROW(INDIRECT("1:"&amp;IF(D54="",10,D54)))-1))-(IF(D62&lt;&gt;"",D62,IF($D$35&lt;&gt;"",$D$35,(D51*(1+IF(D52="",0,D52))^ROUNDDOWN((ROW(INDIRECT("1:"&amp;IF(D54="",10,D54)))-1)/IF(D53="",5,D53),0))/IF(D61="",IF($D$33="",0,$D$33),D61))))&gt;0)*((D13*1.02^(ROW(INDIRECT("1:"&amp;IF(D54="",10,D54)))-1))-(IF(D62&lt;&gt;"",D62,IF($D$35&lt;&gt;"",$D$35,(D51*(1+IF(D52="",0,D52))^ROUNDDOWN((ROW(INDIRECT("1:"&amp;IF(D54="",10,D54)))-1)/IF(D53="",5,D53),0))/IF(D61="",IF($D$33="",0,$D$33),D61))))))*IF(D61="",IF($D$33="",0,$D$33),D61)))</f>
        <v>3361995.6456</v>
      </c>
      <c r="E70" s="65" t="str">
        <f aca="true">IF(E51="","",SUMPRODUCT(E51*(1+IF(E52="",0,E52))^ROUNDDOWN((ROW(INDIRECT("1:"&amp;IF(E54="",10,E54)))-1)/IF(E53="",5,E53),0))+IF(OR(D13="",IF(E61="",IF($D$33="",0,$D$33),E61)=0),0,SUMPRODUCT(((D13*1.02^(ROW(INDIRECT("1:"&amp;IF(E54="",10,E54)))-1))-(IF(E62&lt;&gt;"",E62,IF($D$35&lt;&gt;"",$D$35,(E51*(1+IF(E52="",0,E52))^ROUNDDOWN((ROW(INDIRECT("1:"&amp;IF(E54="",10,E54)))-1)/IF(E53="",5,E53),0))/IF(E61="",IF($D$33="",0,$D$33),E61))))&gt;0)*((D13*1.02^(ROW(INDIRECT("1:"&amp;IF(E54="",10,E54)))-1))-(IF(E62&lt;&gt;"",E62,IF($D$35&lt;&gt;"",$D$35,(E51*(1+IF(E52="",0,E52))^ROUNDDOWN((ROW(INDIRECT("1:"&amp;IF(E54="",10,E54)))-1)/IF(E53="",5,E53),0))/IF(E61="",IF($D$33="",0,$D$33),E61))))))*IF(E61="",IF($D$33="",0,$D$33),E61)))</f>
        <v/>
      </c>
      <c r="F70" s="65" t="str">
        <f aca="true">IF(F51="","",SUMPRODUCT(F51*(1+IF(F52="",0,F52))^ROUNDDOWN((ROW(INDIRECT("1:"&amp;IF(F54="",10,F54)))-1)/IF(F53="",5,F53),0))+IF(OR(D13="",IF(F61="",IF($D$33="",0,$D$33),F61)=0),0,SUMPRODUCT(((D13*1.02^(ROW(INDIRECT("1:"&amp;IF(F54="",10,F54)))-1))-(IF(F62&lt;&gt;"",F62,IF($D$35&lt;&gt;"",$D$35,(F51*(1+IF(F52="",0,F52))^ROUNDDOWN((ROW(INDIRECT("1:"&amp;IF(F54="",10,F54)))-1)/IF(F53="",5,F53),0))/IF(F61="",IF($D$33="",0,$D$33),F61))))&gt;0)*((D13*1.02^(ROW(INDIRECT("1:"&amp;IF(F54="",10,F54)))-1))-(IF(F62&lt;&gt;"",F62,IF($D$35&lt;&gt;"",$D$35,(F51*(1+IF(F52="",0,F52))^ROUNDDOWN((ROW(INDIRECT("1:"&amp;IF(F54="",10,F54)))-1)/IF(F53="",5,F53),0))/IF(F61="",IF($D$33="",0,$D$33),F61))))))*IF(F61="",IF($D$33="",0,$D$33),F61)))</f>
        <v/>
      </c>
      <c r="G70" s="65" t="str">
        <f aca="true">IF(G51="","",SUMPRODUCT(G51*(1+IF(G52="",0,G52))^ROUNDDOWN((ROW(INDIRECT("1:"&amp;IF(G54="",10,G54)))-1)/IF(G53="",5,G53),0))+IF(OR(D13="",IF(G61="",IF($D$33="",0,$D$33),G61)=0),0,SUMPRODUCT(((D13*1.02^(ROW(INDIRECT("1:"&amp;IF(G54="",10,G54)))-1))-(IF(G62&lt;&gt;"",G62,IF($D$35&lt;&gt;"",$D$35,(G51*(1+IF(G52="",0,G52))^ROUNDDOWN((ROW(INDIRECT("1:"&amp;IF(G54="",10,G54)))-1)/IF(G53="",5,G53),0))/IF(G61="",IF($D$33="",0,$D$33),G61))))&gt;0)*((D13*1.02^(ROW(INDIRECT("1:"&amp;IF(G54="",10,G54)))-1))-(IF(G62&lt;&gt;"",G62,IF($D$35&lt;&gt;"",$D$35,(G51*(1+IF(G52="",0,G52))^ROUNDDOWN((ROW(INDIRECT("1:"&amp;IF(G54="",10,G54)))-1)/IF(G53="",5,G53),0))/IF(G61="",IF($D$33="",0,$D$33),G61))))))*IF(G61="",IF($D$33="",0,$D$33),G61)))</f>
        <v/>
      </c>
      <c r="H70" s="65" t="str">
        <f aca="true">IF(H51="","",SUMPRODUCT(H51*(1+IF(H52="",0,H52))^ROUNDDOWN((ROW(INDIRECT("1:"&amp;IF(H54="",10,H54)))-1)/IF(H53="",5,H53),0))+IF(OR(D13="",IF(H61="",IF($D$33="",0,$D$33),H61)=0),0,SUMPRODUCT(((D13*1.02^(ROW(INDIRECT("1:"&amp;IF(H54="",10,H54)))-1))-(IF(H62&lt;&gt;"",H62,IF($D$35&lt;&gt;"",$D$35,(H51*(1+IF(H52="",0,H52))^ROUNDDOWN((ROW(INDIRECT("1:"&amp;IF(H54="",10,H54)))-1)/IF(H53="",5,H53),0))/IF(H61="",IF($D$33="",0,$D$33),H61))))&gt;0)*((D13*1.02^(ROW(INDIRECT("1:"&amp;IF(H54="",10,H54)))-1))-(IF(H62&lt;&gt;"",H62,IF($D$35&lt;&gt;"",$D$35,(H51*(1+IF(H52="",0,H52))^ROUNDDOWN((ROW(INDIRECT("1:"&amp;IF(H54="",10,H54)))-1)/IF(H53="",5,H53),0))/IF(H61="",IF($D$33="",0,$D$33),H61))))))*IF(H61="",IF($D$33="",0,$D$33),H61)))</f>
        <v/>
      </c>
    </row>
    <row r="71" customFormat="false" ht="15" hidden="false" customHeight="true" outlineLevel="0" collapsed="false">
      <c r="A71" s="22" t="s">
        <v>374</v>
      </c>
      <c r="B71" s="22"/>
      <c r="C71" s="22"/>
      <c r="D71" s="62" t="n">
        <f aca="false">IF(D51="","",IF(D52="",0,(1+D52)^(5/IF(D53="",5,D53))-1))</f>
        <v>0.02</v>
      </c>
      <c r="E71" s="62" t="str">
        <f aca="false">IF(E51="","",IF(E52="",0,(1+E52)^(5/IF(E53="",5,E53))-1))</f>
        <v/>
      </c>
      <c r="F71" s="62" t="str">
        <f aca="false">IF(F51="","",IF(F52="",0,(1+F52)^(5/IF(F53="",5,F53))-1))</f>
        <v/>
      </c>
      <c r="G71" s="62" t="str">
        <f aca="false">IF(G51="","",IF(G52="",0,(1+G52)^(5/IF(G53="",5,G53))-1))</f>
        <v/>
      </c>
      <c r="H71" s="62" t="str">
        <f aca="false">IF(H51="","",IF(H52="",0,(1+H52)^(5/IF(H53="",5,H53))-1))</f>
        <v/>
      </c>
    </row>
    <row r="72" customFormat="false" ht="43.25" hidden="false" customHeight="true" outlineLevel="0" collapsed="false">
      <c r="A72" s="22" t="s">
        <v>375</v>
      </c>
      <c r="B72" s="22"/>
      <c r="C72" s="22"/>
      <c r="D72" s="66" t="str">
        <f aca="false">IF(D71="","",IF(D71&lt;=0,"REDUCTION / FLAT — ladder steps 1-2 (best)",IF(D71&lt;=0.08,"OK — within 8%/5-yr in-house authority (ladder step 3)","ABOVE 8%/5-yr — CEO SIGN-OFF REQUIRED (Rob 8/5/26)")))</f>
        <v>OK — within 8%/5-yr in-house authority (ladder step 3)</v>
      </c>
      <c r="E72" s="66" t="str">
        <f aca="false">IF(E71="","",IF(E71&lt;=0,"REDUCTION / FLAT — ladder steps 1-2 (best)",IF(E71&lt;=0.08,"OK — within 8%/5-yr in-house authority (ladder step 3)","ABOVE 8%/5-yr — CEO SIGN-OFF REQUIRED (Rob 8/5/26)")))</f>
        <v/>
      </c>
      <c r="F72" s="66" t="str">
        <f aca="false">IF(F71="","",IF(F71&lt;=0,"REDUCTION / FLAT — ladder steps 1-2 (best)",IF(F71&lt;=0.08,"OK — within 8%/5-yr in-house authority (ladder step 3)","ABOVE 8%/5-yr — CEO SIGN-OFF REQUIRED (Rob 8/5/26)")))</f>
        <v/>
      </c>
      <c r="G72" s="66" t="str">
        <f aca="false">IF(G71="","",IF(G71&lt;=0,"REDUCTION / FLAT — ladder steps 1-2 (best)",IF(G71&lt;=0.08,"OK — within 8%/5-yr in-house authority (ladder step 3)","ABOVE 8%/5-yr — CEO SIGN-OFF REQUIRED (Rob 8/5/26)")))</f>
        <v/>
      </c>
      <c r="H72" s="66" t="str">
        <f aca="false">IF(H71="","",IF(H71&lt;=0,"REDUCTION / FLAT — ladder steps 1-2 (best)",IF(H71&lt;=0.08,"OK — within 8%/5-yr in-house authority (ladder step 3)","ABOVE 8%/5-yr — CEO SIGN-OFF REQUIRED (Rob 8/5/26)")))</f>
        <v/>
      </c>
    </row>
    <row r="73" customFormat="false" ht="23.85" hidden="false" customHeight="true" outlineLevel="0" collapsed="false">
      <c r="A73" s="22" t="s">
        <v>376</v>
      </c>
      <c r="B73" s="22"/>
      <c r="C73" s="22"/>
      <c r="D73" s="62" t="n">
        <f aca="false">IF(OR(D51="",D13=""),"",((D51*(1+IF(D52="",0,D52))^ROUNDDOWN(9/IF(D53="",5,D53),0))+IF(IF(D61="",IF($D$33="",0,$D$33),D61)=0,0,MAX(0,D13*1.02^9-IF(D62&lt;&gt;"",D62,IF($D$35&lt;&gt;"",$D$35,(D51*(1+IF(D52="",0,D52))^ROUNDDOWN(9/IF(D53="",5,D53),0))/IF(D61="",IF($D$33="",0,$D$33),D61))))*IF(D61="",IF($D$33="",0,$D$33),D61)))/(D13*1.02^9))</f>
        <v>0.0427242771267121</v>
      </c>
      <c r="E73" s="62" t="str">
        <f aca="false">IF(OR(E51="",D13=""),"",((E51*(1+IF(E52="",0,E52))^ROUNDDOWN(9/IF(E53="",5,E53),0))+IF(IF(E61="",IF($D$33="",0,$D$33),E61)=0,0,MAX(0,D13*1.02^9-IF(E62&lt;&gt;"",E62,IF($D$35&lt;&gt;"",$D$35,(E51*(1+IF(E52="",0,E52))^ROUNDDOWN(9/IF(E53="",5,E53),0))/IF(E61="",IF($D$33="",0,$D$33),E61))))*IF(E61="",IF($D$33="",0,$D$33),E61)))/(D13*1.02^9))</f>
        <v/>
      </c>
      <c r="F73" s="62" t="str">
        <f aca="false">IF(OR(F51="",D13=""),"",((F51*(1+IF(F52="",0,F52))^ROUNDDOWN(9/IF(F53="",5,F53),0))+IF(IF(F61="",IF($D$33="",0,$D$33),F61)=0,0,MAX(0,D13*1.02^9-IF(F62&lt;&gt;"",F62,IF($D$35&lt;&gt;"",$D$35,(F51*(1+IF(F52="",0,F52))^ROUNDDOWN(9/IF(F53="",5,F53),0))/IF(F61="",IF($D$33="",0,$D$33),F61))))*IF(F61="",IF($D$33="",0,$D$33),F61)))/(D13*1.02^9))</f>
        <v/>
      </c>
      <c r="G73" s="62" t="str">
        <f aca="false">IF(OR(G51="",D13=""),"",((G51*(1+IF(G52="",0,G52))^ROUNDDOWN(9/IF(G53="",5,G53),0))+IF(IF(G61="",IF($D$33="",0,$D$33),G61)=0,0,MAX(0,D13*1.02^9-IF(G62&lt;&gt;"",G62,IF($D$35&lt;&gt;"",$D$35,(G51*(1+IF(G52="",0,G52))^ROUNDDOWN(9/IF(G53="",5,G53),0))/IF(G61="",IF($D$33="",0,$D$33),G61))))*IF(G61="",IF($D$33="",0,$D$33),G61)))/(D13*1.02^9))</f>
        <v/>
      </c>
      <c r="H73" s="62" t="str">
        <f aca="false">IF(OR(H51="",D13=""),"",((H51*(1+IF(H52="",0,H52))^ROUNDDOWN(9/IF(H53="",5,H53),0))+IF(IF(H61="",IF($D$33="",0,$D$33),H61)=0,0,MAX(0,D13*1.02^9-IF(H62&lt;&gt;"",H62,IF($D$35&lt;&gt;"",$D$35,(H51*(1+IF(H52="",0,H52))^ROUNDDOWN(9/IF(H53="",5,H53),0))/IF(H61="",IF($D$33="",0,$D$33),H61))))*IF(H61="",IF($D$33="",0,$D$33),H61)))/(D13*1.02^9))</f>
        <v/>
      </c>
    </row>
    <row r="74" customFormat="false" ht="23.85" hidden="false" customHeight="true" outlineLevel="0" collapsed="false">
      <c r="A74" s="22" t="s">
        <v>377</v>
      </c>
      <c r="B74" s="22"/>
      <c r="C74" s="22"/>
      <c r="D74" s="66" t="str">
        <f aca="false">IF(OR(D73="",D66=""),"",IF(MAX(D66,D73)&gt;=0.08,"HARD STOP — occupancy at/above 8% of sales: STOP, CEO sign-off before responding",IF(MAX(D66,D73)&gt;0.07,"Above Kim 7% alert — approaching 8% hard stop","OK — under 7% alert")))</f>
        <v>OK — under 7% alert</v>
      </c>
      <c r="E74" s="66" t="str">
        <f aca="false">IF(OR(E73="",E66=""),"",IF(MAX(E66,E73)&gt;=0.08,"HARD STOP — occupancy at/above 8% of sales: STOP, CEO sign-off before responding",IF(MAX(E66,E73)&gt;0.07,"Above Kim 7% alert — approaching 8% hard stop","OK — under 7% alert")))</f>
        <v/>
      </c>
      <c r="F74" s="66" t="str">
        <f aca="false">IF(OR(F73="",F66=""),"",IF(MAX(F66,F73)&gt;=0.08,"HARD STOP — occupancy at/above 8% of sales: STOP, CEO sign-off before responding",IF(MAX(F66,F73)&gt;0.07,"Above Kim 7% alert — approaching 8% hard stop","OK — under 7% alert")))</f>
        <v/>
      </c>
      <c r="G74" s="66" t="str">
        <f aca="false">IF(OR(G73="",G66=""),"",IF(MAX(G66,G73)&gt;=0.08,"HARD STOP — occupancy at/above 8% of sales: STOP, CEO sign-off before responding",IF(MAX(G66,G73)&gt;0.07,"Above Kim 7% alert — approaching 8% hard stop","OK — under 7% alert")))</f>
        <v/>
      </c>
      <c r="H74" s="66" t="str">
        <f aca="false">IF(OR(H73="",H66=""),"",IF(MAX(H66,H73)&gt;=0.08,"HARD STOP — occupancy at/above 8% of sales: STOP, CEO sign-off before responding",IF(MAX(H66,H73)&gt;0.07,"Above Kim 7% alert — approaching 8% hard stop","OK — under 7% alert")))</f>
        <v/>
      </c>
    </row>
    <row r="76" customFormat="false" ht="22.35" hidden="false" customHeight="true" outlineLevel="0" collapsed="false">
      <c r="A76" s="68" t="s">
        <v>379</v>
      </c>
      <c r="B76" s="68"/>
      <c r="C76" s="68"/>
      <c r="D76" s="68"/>
      <c r="E76" s="68"/>
      <c r="F76" s="68"/>
      <c r="G76" s="68"/>
      <c r="H76" s="68"/>
      <c r="I76" s="68"/>
      <c r="J76" s="68"/>
    </row>
    <row r="78" customFormat="false" ht="15" hidden="false" customHeight="false" outlineLevel="0" collapsed="false">
      <c r="A78" s="69" t="s">
        <v>380</v>
      </c>
      <c r="B78" s="69"/>
      <c r="C78" s="69"/>
      <c r="D78" s="69"/>
      <c r="E78" s="69"/>
      <c r="F78" s="69"/>
      <c r="G78" s="69"/>
      <c r="H78" s="69"/>
      <c r="I78" s="69"/>
      <c r="J78" s="69"/>
    </row>
    <row r="81" customFormat="false" ht="15" hidden="false" customHeight="false" outlineLevel="0" collapsed="false">
      <c r="A81" s="25" t="s">
        <v>381</v>
      </c>
    </row>
    <row r="82" customFormat="false" ht="15" hidden="false" customHeight="false" outlineLevel="0" collapsed="false">
      <c r="A82" s="69" t="s">
        <v>382</v>
      </c>
      <c r="B82" s="69"/>
      <c r="C82" s="69"/>
      <c r="D82" s="69"/>
      <c r="E82" s="69"/>
      <c r="F82" s="69"/>
      <c r="G82" s="69"/>
      <c r="H82" s="69"/>
      <c r="I82" s="69"/>
      <c r="J82" s="69"/>
      <c r="K82" s="69"/>
      <c r="L82" s="69"/>
      <c r="M82" s="69"/>
      <c r="N82" s="69"/>
      <c r="O82" s="69"/>
      <c r="P82" s="69"/>
      <c r="Q82" s="69"/>
      <c r="R82" s="69"/>
      <c r="S82" s="69"/>
      <c r="T82" s="69"/>
    </row>
    <row r="83" customFormat="false" ht="15" hidden="false" customHeight="true" outlineLevel="0" collapsed="false">
      <c r="A83" s="70" t="s">
        <v>383</v>
      </c>
      <c r="B83" s="70" t="s">
        <v>384</v>
      </c>
      <c r="C83" s="71" t="s">
        <v>385</v>
      </c>
      <c r="D83" s="71"/>
      <c r="E83" s="71"/>
      <c r="F83" s="71" t="s">
        <v>386</v>
      </c>
      <c r="G83" s="71"/>
      <c r="H83" s="71"/>
      <c r="I83" s="71" t="s">
        <v>387</v>
      </c>
      <c r="J83" s="71"/>
      <c r="K83" s="71"/>
      <c r="L83" s="71" t="s">
        <v>388</v>
      </c>
      <c r="M83" s="71"/>
      <c r="N83" s="71"/>
      <c r="O83" s="71" t="s">
        <v>389</v>
      </c>
      <c r="P83" s="71"/>
      <c r="Q83" s="71"/>
      <c r="R83" s="72" t="s">
        <v>390</v>
      </c>
      <c r="S83" s="72"/>
      <c r="T83" s="72"/>
    </row>
    <row r="84" customFormat="false" ht="15" hidden="false" customHeight="false" outlineLevel="0" collapsed="false">
      <c r="A84" s="73"/>
      <c r="B84" s="73"/>
      <c r="C84" s="73" t="s">
        <v>391</v>
      </c>
      <c r="D84" s="73" t="s">
        <v>392</v>
      </c>
      <c r="E84" s="73" t="s">
        <v>393</v>
      </c>
      <c r="F84" s="73" t="s">
        <v>391</v>
      </c>
      <c r="G84" s="73" t="s">
        <v>392</v>
      </c>
      <c r="H84" s="73" t="s">
        <v>393</v>
      </c>
      <c r="I84" s="73" t="s">
        <v>391</v>
      </c>
      <c r="J84" s="73" t="s">
        <v>392</v>
      </c>
      <c r="K84" s="73" t="s">
        <v>393</v>
      </c>
      <c r="L84" s="73" t="s">
        <v>391</v>
      </c>
      <c r="M84" s="73" t="s">
        <v>392</v>
      </c>
      <c r="N84" s="73" t="s">
        <v>393</v>
      </c>
      <c r="O84" s="73" t="s">
        <v>391</v>
      </c>
      <c r="P84" s="73" t="s">
        <v>392</v>
      </c>
      <c r="Q84" s="73" t="s">
        <v>393</v>
      </c>
      <c r="R84" s="73" t="s">
        <v>391</v>
      </c>
      <c r="S84" s="73" t="s">
        <v>392</v>
      </c>
      <c r="T84" s="73" t="s">
        <v>393</v>
      </c>
    </row>
    <row r="85" customFormat="false" ht="15" hidden="false" customHeight="false" outlineLevel="0" collapsed="false">
      <c r="A85" s="74" t="n">
        <v>1</v>
      </c>
      <c r="B85" s="75" t="n">
        <v>3259000</v>
      </c>
      <c r="C85" s="76" t="n">
        <v>163140</v>
      </c>
      <c r="D85" s="76" t="n">
        <v>0</v>
      </c>
      <c r="E85" s="76" t="n">
        <v>163140</v>
      </c>
      <c r="F85" s="75" t="n">
        <f aca="false">IF(D51="","",IF(1&gt;IF(D54="",10,D54),"",D51*(1+IF(D52="",0,D52))^ROUNDDOWN((1-1)/IF(D53="",5,D53),0)))</f>
        <v>163140</v>
      </c>
      <c r="G85" s="75" t="n">
        <f aca="false">IF(F85="","",IF((IF(D61="",IF($D$33="",0,$D$33),D61))=0,0,MAX(0,3259000-(IF(D62&lt;&gt;"",D62,IF($D$35&lt;&gt;"",$D$35,IF((IF(D61="",IF($D$33="",0,$D$33),D61))=0,0,D51/(IF(D61="",IF($D$33="",0,$D$33),D61)))))))*(IF(D61="",IF($D$33="",0,$D$33),D61))))</f>
        <v>0</v>
      </c>
      <c r="H85" s="75" t="n">
        <f aca="false">IF(F85="","",F85+G85)</f>
        <v>163140</v>
      </c>
      <c r="I85" s="75" t="str">
        <f aca="false">IF(E51="","",IF(1&gt;IF(E54="",10,E54),"",E51*(1+IF(E52="",0,E52))^ROUNDDOWN((1-1)/IF(E53="",5,E53),0)))</f>
        <v/>
      </c>
      <c r="J85" s="75" t="str">
        <f aca="false">IF(I85="","",IF((IF(E61="",IF($D$33="",0,$D$33),E61))=0,0,MAX(0,3259000-(IF(E62&lt;&gt;"",E62,IF($D$35&lt;&gt;"",$D$35,IF((IF(E61="",IF($D$33="",0,$D$33),E61))=0,0,E51/(IF(E61="",IF($D$33="",0,$D$33),E61)))))))*(IF(E61="",IF($D$33="",0,$D$33),E61))))</f>
        <v/>
      </c>
      <c r="K85" s="75" t="str">
        <f aca="false">IF(I85="","",I85+J85)</f>
        <v/>
      </c>
      <c r="L85" s="75" t="str">
        <f aca="false">IF(F51="","",IF(1&gt;IF(F54="",10,F54),"",F51*(1+IF(F52="",0,F52))^ROUNDDOWN((1-1)/IF(F53="",5,F53),0)))</f>
        <v/>
      </c>
      <c r="M85" s="75" t="str">
        <f aca="false">IF(L85="","",IF((IF(F61="",IF($D$33="",0,$D$33),F61))=0,0,MAX(0,3259000-(IF(F62&lt;&gt;"",F62,IF($D$35&lt;&gt;"",$D$35,IF((IF(F61="",IF($D$33="",0,$D$33),F61))=0,0,F51/(IF(F61="",IF($D$33="",0,$D$33),F61)))))))*(IF(F61="",IF($D$33="",0,$D$33),F61))))</f>
        <v/>
      </c>
      <c r="N85" s="75" t="str">
        <f aca="false">IF(L85="","",L85+M85)</f>
        <v/>
      </c>
      <c r="O85" s="75" t="str">
        <f aca="false">IF(G51="","",IF(1&gt;IF(G54="",10,G54),"",G51*(1+IF(G52="",0,G52))^ROUNDDOWN((1-1)/IF(G53="",5,G53),0)))</f>
        <v/>
      </c>
      <c r="P85" s="75" t="str">
        <f aca="false">IF(O85="","",IF((IF(G61="",IF($D$33="",0,$D$33),G61))=0,0,MAX(0,3259000-(IF(G62&lt;&gt;"",G62,IF($D$35&lt;&gt;"",$D$35,IF((IF(G61="",IF($D$33="",0,$D$33),G61))=0,0,G51/(IF(G61="",IF($D$33="",0,$D$33),G61)))))))*(IF(G61="",IF($D$33="",0,$D$33),G61))))</f>
        <v/>
      </c>
      <c r="Q85" s="75" t="str">
        <f aca="false">IF(O85="","",O85+P85)</f>
        <v/>
      </c>
      <c r="R85" s="75" t="str">
        <f aca="false">IF(H51="","",IF(1&gt;IF(H54="",10,H54),"",H51*(1+IF(H52="",0,H52))^ROUNDDOWN((1-1)/IF(H53="",5,H53),0)))</f>
        <v/>
      </c>
      <c r="S85" s="75" t="str">
        <f aca="false">IF(R85="","",IF((IF(H61="",IF($D$33="",0,$D$33),H61))=0,0,MAX(0,3259000-(IF(H62&lt;&gt;"",H62,IF($D$35&lt;&gt;"",$D$35,IF((IF(H61="",IF($D$33="",0,$D$33),H61))=0,0,H51/(IF(H61="",IF($D$33="",0,$D$33),H61)))))))*(IF(H61="",IF($D$33="",0,$D$33),H61))))</f>
        <v/>
      </c>
      <c r="T85" s="75" t="str">
        <f aca="false">IF(R85="","",R85+S85)</f>
        <v/>
      </c>
    </row>
    <row r="86" customFormat="false" ht="15" hidden="false" customHeight="false" outlineLevel="0" collapsed="false">
      <c r="A86" s="74" t="n">
        <v>2</v>
      </c>
      <c r="B86" s="75" t="n">
        <v>3324180</v>
      </c>
      <c r="C86" s="76" t="n">
        <v>163140</v>
      </c>
      <c r="D86" s="76" t="n">
        <v>0</v>
      </c>
      <c r="E86" s="76" t="n">
        <v>163140</v>
      </c>
      <c r="F86" s="75" t="n">
        <f aca="false">IF(D51="","",IF(2&gt;IF(D54="",10,D54),"",D51*(1+IF(D52="",0,D52))^ROUNDDOWN((2-1)/IF(D53="",5,D53),0)))</f>
        <v>163140</v>
      </c>
      <c r="G86" s="75" t="n">
        <f aca="false">IF(F86="","",IF((IF(D61="",IF($D$33="",0,$D$33),D61))=0,0,MAX(0,3324180-(IF(D62&lt;&gt;"",D62,IF($D$35&lt;&gt;"",$D$35,IF((IF(D61="",IF($D$33="",0,$D$33),D61))=0,0,D51/(IF(D61="",IF($D$33="",0,$D$33),D61)))))))*(IF(D61="",IF($D$33="",0,$D$33),D61))))</f>
        <v>0</v>
      </c>
      <c r="H86" s="75" t="n">
        <f aca="false">IF(F86="","",F86+G86)</f>
        <v>163140</v>
      </c>
      <c r="I86" s="75" t="str">
        <f aca="false">IF(E51="","",IF(2&gt;IF(E54="",10,E54),"",E51*(1+IF(E52="",0,E52))^ROUNDDOWN((2-1)/IF(E53="",5,E53),0)))</f>
        <v/>
      </c>
      <c r="J86" s="75" t="str">
        <f aca="false">IF(I86="","",IF((IF(E61="",IF($D$33="",0,$D$33),E61))=0,0,MAX(0,3324180-(IF(E62&lt;&gt;"",E62,IF($D$35&lt;&gt;"",$D$35,IF((IF(E61="",IF($D$33="",0,$D$33),E61))=0,0,E51/(IF(E61="",IF($D$33="",0,$D$33),E61)))))))*(IF(E61="",IF($D$33="",0,$D$33),E61))))</f>
        <v/>
      </c>
      <c r="K86" s="75" t="str">
        <f aca="false">IF(I86="","",I86+J86)</f>
        <v/>
      </c>
      <c r="L86" s="75" t="str">
        <f aca="false">IF(F51="","",IF(2&gt;IF(F54="",10,F54),"",F51*(1+IF(F52="",0,F52))^ROUNDDOWN((2-1)/IF(F53="",5,F53),0)))</f>
        <v/>
      </c>
      <c r="M86" s="75" t="str">
        <f aca="false">IF(L86="","",IF((IF(F61="",IF($D$33="",0,$D$33),F61))=0,0,MAX(0,3324180-(IF(F62&lt;&gt;"",F62,IF($D$35&lt;&gt;"",$D$35,IF((IF(F61="",IF($D$33="",0,$D$33),F61))=0,0,F51/(IF(F61="",IF($D$33="",0,$D$33),F61)))))))*(IF(F61="",IF($D$33="",0,$D$33),F61))))</f>
        <v/>
      </c>
      <c r="N86" s="75" t="str">
        <f aca="false">IF(L86="","",L86+M86)</f>
        <v/>
      </c>
      <c r="O86" s="75" t="str">
        <f aca="false">IF(G51="","",IF(2&gt;IF(G54="",10,G54),"",G51*(1+IF(G52="",0,G52))^ROUNDDOWN((2-1)/IF(G53="",5,G53),0)))</f>
        <v/>
      </c>
      <c r="P86" s="75" t="str">
        <f aca="false">IF(O86="","",IF((IF(G61="",IF($D$33="",0,$D$33),G61))=0,0,MAX(0,3324180-(IF(G62&lt;&gt;"",G62,IF($D$35&lt;&gt;"",$D$35,IF((IF(G61="",IF($D$33="",0,$D$33),G61))=0,0,G51/(IF(G61="",IF($D$33="",0,$D$33),G61)))))))*(IF(G61="",IF($D$33="",0,$D$33),G61))))</f>
        <v/>
      </c>
      <c r="Q86" s="75" t="str">
        <f aca="false">IF(O86="","",O86+P86)</f>
        <v/>
      </c>
      <c r="R86" s="75" t="str">
        <f aca="false">IF(H51="","",IF(2&gt;IF(H54="",10,H54),"",H51*(1+IF(H52="",0,H52))^ROUNDDOWN((2-1)/IF(H53="",5,H53),0)))</f>
        <v/>
      </c>
      <c r="S86" s="75" t="str">
        <f aca="false">IF(R86="","",IF((IF(H61="",IF($D$33="",0,$D$33),H61))=0,0,MAX(0,3324180-(IF(H62&lt;&gt;"",H62,IF($D$35&lt;&gt;"",$D$35,IF((IF(H61="",IF($D$33="",0,$D$33),H61))=0,0,H51/(IF(H61="",IF($D$33="",0,$D$33),H61)))))))*(IF(H61="",IF($D$33="",0,$D$33),H61))))</f>
        <v/>
      </c>
      <c r="T86" s="75" t="str">
        <f aca="false">IF(R86="","",R86+S86)</f>
        <v/>
      </c>
    </row>
    <row r="87" customFormat="false" ht="15" hidden="false" customHeight="false" outlineLevel="0" collapsed="false">
      <c r="A87" s="74" t="n">
        <v>3</v>
      </c>
      <c r="B87" s="75" t="n">
        <v>3390664</v>
      </c>
      <c r="C87" s="76" t="n">
        <v>163140</v>
      </c>
      <c r="D87" s="76" t="n">
        <v>0</v>
      </c>
      <c r="E87" s="76" t="n">
        <v>163140</v>
      </c>
      <c r="F87" s="75" t="n">
        <f aca="false">IF(D51="","",IF(3&gt;IF(D54="",10,D54),"",D51*(1+IF(D52="",0,D52))^ROUNDDOWN((3-1)/IF(D53="",5,D53),0)))</f>
        <v>163140</v>
      </c>
      <c r="G87" s="75" t="n">
        <f aca="false">IF(F87="","",IF((IF(D61="",IF($D$33="",0,$D$33),D61))=0,0,MAX(0,3390663.6-(IF(D62&lt;&gt;"",D62,IF($D$35&lt;&gt;"",$D$35,IF((IF(D61="",IF($D$33="",0,$D$33),D61))=0,0,D51/(IF(D61="",IF($D$33="",0,$D$33),D61)))))))*(IF(D61="",IF($D$33="",0,$D$33),D61))))</f>
        <v>0</v>
      </c>
      <c r="H87" s="75" t="n">
        <f aca="false">IF(F87="","",F87+G87)</f>
        <v>163140</v>
      </c>
      <c r="I87" s="75" t="str">
        <f aca="false">IF(E51="","",IF(3&gt;IF(E54="",10,E54),"",E51*(1+IF(E52="",0,E52))^ROUNDDOWN((3-1)/IF(E53="",5,E53),0)))</f>
        <v/>
      </c>
      <c r="J87" s="75" t="str">
        <f aca="false">IF(I87="","",IF((IF(E61="",IF($D$33="",0,$D$33),E61))=0,0,MAX(0,3390663.6-(IF(E62&lt;&gt;"",E62,IF($D$35&lt;&gt;"",$D$35,IF((IF(E61="",IF($D$33="",0,$D$33),E61))=0,0,E51/(IF(E61="",IF($D$33="",0,$D$33),E61)))))))*(IF(E61="",IF($D$33="",0,$D$33),E61))))</f>
        <v/>
      </c>
      <c r="K87" s="75" t="str">
        <f aca="false">IF(I87="","",I87+J87)</f>
        <v/>
      </c>
      <c r="L87" s="75" t="str">
        <f aca="false">IF(F51="","",IF(3&gt;IF(F54="",10,F54),"",F51*(1+IF(F52="",0,F52))^ROUNDDOWN((3-1)/IF(F53="",5,F53),0)))</f>
        <v/>
      </c>
      <c r="M87" s="75" t="str">
        <f aca="false">IF(L87="","",IF((IF(F61="",IF($D$33="",0,$D$33),F61))=0,0,MAX(0,3390663.6-(IF(F62&lt;&gt;"",F62,IF($D$35&lt;&gt;"",$D$35,IF((IF(F61="",IF($D$33="",0,$D$33),F61))=0,0,F51/(IF(F61="",IF($D$33="",0,$D$33),F61)))))))*(IF(F61="",IF($D$33="",0,$D$33),F61))))</f>
        <v/>
      </c>
      <c r="N87" s="75" t="str">
        <f aca="false">IF(L87="","",L87+M87)</f>
        <v/>
      </c>
      <c r="O87" s="75" t="str">
        <f aca="false">IF(G51="","",IF(3&gt;IF(G54="",10,G54),"",G51*(1+IF(G52="",0,G52))^ROUNDDOWN((3-1)/IF(G53="",5,G53),0)))</f>
        <v/>
      </c>
      <c r="P87" s="75" t="str">
        <f aca="false">IF(O87="","",IF((IF(G61="",IF($D$33="",0,$D$33),G61))=0,0,MAX(0,3390663.6-(IF(G62&lt;&gt;"",G62,IF($D$35&lt;&gt;"",$D$35,IF((IF(G61="",IF($D$33="",0,$D$33),G61))=0,0,G51/(IF(G61="",IF($D$33="",0,$D$33),G61)))))))*(IF(G61="",IF($D$33="",0,$D$33),G61))))</f>
        <v/>
      </c>
      <c r="Q87" s="75" t="str">
        <f aca="false">IF(O87="","",O87+P87)</f>
        <v/>
      </c>
      <c r="R87" s="75" t="str">
        <f aca="false">IF(H51="","",IF(3&gt;IF(H54="",10,H54),"",H51*(1+IF(H52="",0,H52))^ROUNDDOWN((3-1)/IF(H53="",5,H53),0)))</f>
        <v/>
      </c>
      <c r="S87" s="75" t="str">
        <f aca="false">IF(R87="","",IF((IF(H61="",IF($D$33="",0,$D$33),H61))=0,0,MAX(0,3390663.6-(IF(H62&lt;&gt;"",H62,IF($D$35&lt;&gt;"",$D$35,IF((IF(H61="",IF($D$33="",0,$D$33),H61))=0,0,H51/(IF(H61="",IF($D$33="",0,$D$33),H61)))))))*(IF(H61="",IF($D$33="",0,$D$33),H61))))</f>
        <v/>
      </c>
      <c r="T87" s="75" t="str">
        <f aca="false">IF(R87="","",R87+S87)</f>
        <v/>
      </c>
    </row>
    <row r="88" customFormat="false" ht="15" hidden="false" customHeight="false" outlineLevel="0" collapsed="false">
      <c r="A88" s="74" t="n">
        <v>4</v>
      </c>
      <c r="B88" s="75" t="n">
        <v>3458477</v>
      </c>
      <c r="C88" s="76" t="n">
        <v>163140</v>
      </c>
      <c r="D88" s="76" t="n">
        <v>0</v>
      </c>
      <c r="E88" s="76" t="n">
        <v>163140</v>
      </c>
      <c r="F88" s="75" t="n">
        <f aca="false">IF(D51="","",IF(4&gt;IF(D54="",10,D54),"",D51*(1+IF(D52="",0,D52))^ROUNDDOWN((4-1)/IF(D53="",5,D53),0)))</f>
        <v>163140</v>
      </c>
      <c r="G88" s="75" t="n">
        <f aca="false">IF(F88="","",IF((IF(D61="",IF($D$33="",0,$D$33),D61))=0,0,MAX(0,3458476.87-(IF(D62&lt;&gt;"",D62,IF($D$35&lt;&gt;"",$D$35,IF((IF(D61="",IF($D$33="",0,$D$33),D61))=0,0,D51/(IF(D61="",IF($D$33="",0,$D$33),D61)))))))*(IF(D61="",IF($D$33="",0,$D$33),D61))))</f>
        <v>0</v>
      </c>
      <c r="H88" s="75" t="n">
        <f aca="false">IF(F88="","",F88+G88)</f>
        <v>163140</v>
      </c>
      <c r="I88" s="75" t="str">
        <f aca="false">IF(E51="","",IF(4&gt;IF(E54="",10,E54),"",E51*(1+IF(E52="",0,E52))^ROUNDDOWN((4-1)/IF(E53="",5,E53),0)))</f>
        <v/>
      </c>
      <c r="J88" s="75" t="str">
        <f aca="false">IF(I88="","",IF((IF(E61="",IF($D$33="",0,$D$33),E61))=0,0,MAX(0,3458476.87-(IF(E62&lt;&gt;"",E62,IF($D$35&lt;&gt;"",$D$35,IF((IF(E61="",IF($D$33="",0,$D$33),E61))=0,0,E51/(IF(E61="",IF($D$33="",0,$D$33),E61)))))))*(IF(E61="",IF($D$33="",0,$D$33),E61))))</f>
        <v/>
      </c>
      <c r="K88" s="75" t="str">
        <f aca="false">IF(I88="","",I88+J88)</f>
        <v/>
      </c>
      <c r="L88" s="75" t="str">
        <f aca="false">IF(F51="","",IF(4&gt;IF(F54="",10,F54),"",F51*(1+IF(F52="",0,F52))^ROUNDDOWN((4-1)/IF(F53="",5,F53),0)))</f>
        <v/>
      </c>
      <c r="M88" s="75" t="str">
        <f aca="false">IF(L88="","",IF((IF(F61="",IF($D$33="",0,$D$33),F61))=0,0,MAX(0,3458476.87-(IF(F62&lt;&gt;"",F62,IF($D$35&lt;&gt;"",$D$35,IF((IF(F61="",IF($D$33="",0,$D$33),F61))=0,0,F51/(IF(F61="",IF($D$33="",0,$D$33),F61)))))))*(IF(F61="",IF($D$33="",0,$D$33),F61))))</f>
        <v/>
      </c>
      <c r="N88" s="75" t="str">
        <f aca="false">IF(L88="","",L88+M88)</f>
        <v/>
      </c>
      <c r="O88" s="75" t="str">
        <f aca="false">IF(G51="","",IF(4&gt;IF(G54="",10,G54),"",G51*(1+IF(G52="",0,G52))^ROUNDDOWN((4-1)/IF(G53="",5,G53),0)))</f>
        <v/>
      </c>
      <c r="P88" s="75" t="str">
        <f aca="false">IF(O88="","",IF((IF(G61="",IF($D$33="",0,$D$33),G61))=0,0,MAX(0,3458476.87-(IF(G62&lt;&gt;"",G62,IF($D$35&lt;&gt;"",$D$35,IF((IF(G61="",IF($D$33="",0,$D$33),G61))=0,0,G51/(IF(G61="",IF($D$33="",0,$D$33),G61)))))))*(IF(G61="",IF($D$33="",0,$D$33),G61))))</f>
        <v/>
      </c>
      <c r="Q88" s="75" t="str">
        <f aca="false">IF(O88="","",O88+P88)</f>
        <v/>
      </c>
      <c r="R88" s="75" t="str">
        <f aca="false">IF(H51="","",IF(4&gt;IF(H54="",10,H54),"",H51*(1+IF(H52="",0,H52))^ROUNDDOWN((4-1)/IF(H53="",5,H53),0)))</f>
        <v/>
      </c>
      <c r="S88" s="75" t="str">
        <f aca="false">IF(R88="","",IF((IF(H61="",IF($D$33="",0,$D$33),H61))=0,0,MAX(0,3458476.87-(IF(H62&lt;&gt;"",H62,IF($D$35&lt;&gt;"",$D$35,IF((IF(H61="",IF($D$33="",0,$D$33),H61))=0,0,H51/(IF(H61="",IF($D$33="",0,$D$33),H61)))))))*(IF(H61="",IF($D$33="",0,$D$33),H61))))</f>
        <v/>
      </c>
      <c r="T88" s="75" t="str">
        <f aca="false">IF(R88="","",R88+S88)</f>
        <v/>
      </c>
    </row>
    <row r="89" customFormat="false" ht="15" hidden="false" customHeight="false" outlineLevel="0" collapsed="false">
      <c r="A89" s="74" t="n">
        <v>5</v>
      </c>
      <c r="B89" s="75" t="n">
        <v>3527646</v>
      </c>
      <c r="C89" s="76" t="n">
        <v>163140</v>
      </c>
      <c r="D89" s="76" t="n">
        <v>0</v>
      </c>
      <c r="E89" s="76" t="n">
        <v>163140</v>
      </c>
      <c r="F89" s="75" t="n">
        <f aca="false">IF(D51="","",IF(5&gt;IF(D54="",10,D54),"",D51*(1+IF(D52="",0,D52))^ROUNDDOWN((5-1)/IF(D53="",5,D53),0)))</f>
        <v>163140</v>
      </c>
      <c r="G89" s="75" t="n">
        <f aca="false">IF(F89="","",IF((IF(D61="",IF($D$33="",0,$D$33),D61))=0,0,MAX(0,3527646.41-(IF(D62&lt;&gt;"",D62,IF($D$35&lt;&gt;"",$D$35,IF((IF(D61="",IF($D$33="",0,$D$33),D61))=0,0,D51/(IF(D61="",IF($D$33="",0,$D$33),D61)))))))*(IF(D61="",IF($D$33="",0,$D$33),D61))))</f>
        <v>0</v>
      </c>
      <c r="H89" s="75" t="n">
        <f aca="false">IF(F89="","",F89+G89)</f>
        <v>163140</v>
      </c>
      <c r="I89" s="75" t="str">
        <f aca="false">IF(E51="","",IF(5&gt;IF(E54="",10,E54),"",E51*(1+IF(E52="",0,E52))^ROUNDDOWN((5-1)/IF(E53="",5,E53),0)))</f>
        <v/>
      </c>
      <c r="J89" s="75" t="str">
        <f aca="false">IF(I89="","",IF((IF(E61="",IF($D$33="",0,$D$33),E61))=0,0,MAX(0,3527646.41-(IF(E62&lt;&gt;"",E62,IF($D$35&lt;&gt;"",$D$35,IF((IF(E61="",IF($D$33="",0,$D$33),E61))=0,0,E51/(IF(E61="",IF($D$33="",0,$D$33),E61)))))))*(IF(E61="",IF($D$33="",0,$D$33),E61))))</f>
        <v/>
      </c>
      <c r="K89" s="75" t="str">
        <f aca="false">IF(I89="","",I89+J89)</f>
        <v/>
      </c>
      <c r="L89" s="75" t="str">
        <f aca="false">IF(F51="","",IF(5&gt;IF(F54="",10,F54),"",F51*(1+IF(F52="",0,F52))^ROUNDDOWN((5-1)/IF(F53="",5,F53),0)))</f>
        <v/>
      </c>
      <c r="M89" s="75" t="str">
        <f aca="false">IF(L89="","",IF((IF(F61="",IF($D$33="",0,$D$33),F61))=0,0,MAX(0,3527646.41-(IF(F62&lt;&gt;"",F62,IF($D$35&lt;&gt;"",$D$35,IF((IF(F61="",IF($D$33="",0,$D$33),F61))=0,0,F51/(IF(F61="",IF($D$33="",0,$D$33),F61)))))))*(IF(F61="",IF($D$33="",0,$D$33),F61))))</f>
        <v/>
      </c>
      <c r="N89" s="75" t="str">
        <f aca="false">IF(L89="","",L89+M89)</f>
        <v/>
      </c>
      <c r="O89" s="75" t="str">
        <f aca="false">IF(G51="","",IF(5&gt;IF(G54="",10,G54),"",G51*(1+IF(G52="",0,G52))^ROUNDDOWN((5-1)/IF(G53="",5,G53),0)))</f>
        <v/>
      </c>
      <c r="P89" s="75" t="str">
        <f aca="false">IF(O89="","",IF((IF(G61="",IF($D$33="",0,$D$33),G61))=0,0,MAX(0,3527646.41-(IF(G62&lt;&gt;"",G62,IF($D$35&lt;&gt;"",$D$35,IF((IF(G61="",IF($D$33="",0,$D$33),G61))=0,0,G51/(IF(G61="",IF($D$33="",0,$D$33),G61)))))))*(IF(G61="",IF($D$33="",0,$D$33),G61))))</f>
        <v/>
      </c>
      <c r="Q89" s="75" t="str">
        <f aca="false">IF(O89="","",O89+P89)</f>
        <v/>
      </c>
      <c r="R89" s="75" t="str">
        <f aca="false">IF(H51="","",IF(5&gt;IF(H54="",10,H54),"",H51*(1+IF(H52="",0,H52))^ROUNDDOWN((5-1)/IF(H53="",5,H53),0)))</f>
        <v/>
      </c>
      <c r="S89" s="75" t="str">
        <f aca="false">IF(R89="","",IF((IF(H61="",IF($D$33="",0,$D$33),H61))=0,0,MAX(0,3527646.41-(IF(H62&lt;&gt;"",H62,IF($D$35&lt;&gt;"",$D$35,IF((IF(H61="",IF($D$33="",0,$D$33),H61))=0,0,H51/(IF(H61="",IF($D$33="",0,$D$33),H61)))))))*(IF(H61="",IF($D$33="",0,$D$33),H61))))</f>
        <v/>
      </c>
      <c r="T89" s="75" t="str">
        <f aca="false">IF(R89="","",R89+S89)</f>
        <v/>
      </c>
    </row>
    <row r="90" customFormat="false" ht="15" hidden="false" customHeight="false" outlineLevel="0" collapsed="false">
      <c r="A90" s="74" t="n">
        <v>6</v>
      </c>
      <c r="B90" s="75" t="n">
        <v>3598199</v>
      </c>
      <c r="C90" s="76" t="n">
        <v>163140</v>
      </c>
      <c r="D90" s="76" t="n">
        <v>0</v>
      </c>
      <c r="E90" s="76" t="n">
        <v>163140</v>
      </c>
      <c r="F90" s="75" t="n">
        <f aca="false">IF(D51="","",IF(6&gt;IF(D54="",10,D54),"",D51*(1+IF(D52="",0,D52))^ROUNDDOWN((6-1)/IF(D53="",5,D53),0)))</f>
        <v>166402.8</v>
      </c>
      <c r="G90" s="75" t="n">
        <f aca="false">IF(F90="","",IF((IF(D61="",IF($D$33="",0,$D$33),D61))=0,0,MAX(0,3598199.34-(IF(D62&lt;&gt;"",D62,IF($D$35&lt;&gt;"",$D$35,IF((IF(D61="",IF($D$33="",0,$D$33),D61))=0,0,D51/(IF(D61="",IF($D$33="",0,$D$33),D61)))))))*(IF(D61="",IF($D$33="",0,$D$33),D61))))</f>
        <v>0</v>
      </c>
      <c r="H90" s="75" t="n">
        <f aca="false">IF(F90="","",F90+G90)</f>
        <v>166402.8</v>
      </c>
      <c r="I90" s="75" t="str">
        <f aca="false">IF(E51="","",IF(6&gt;IF(E54="",10,E54),"",E51*(1+IF(E52="",0,E52))^ROUNDDOWN((6-1)/IF(E53="",5,E53),0)))</f>
        <v/>
      </c>
      <c r="J90" s="75" t="str">
        <f aca="false">IF(I90="","",IF((IF(E61="",IF($D$33="",0,$D$33),E61))=0,0,MAX(0,3598199.34-(IF(E62&lt;&gt;"",E62,IF($D$35&lt;&gt;"",$D$35,IF((IF(E61="",IF($D$33="",0,$D$33),E61))=0,0,E51/(IF(E61="",IF($D$33="",0,$D$33),E61)))))))*(IF(E61="",IF($D$33="",0,$D$33),E61))))</f>
        <v/>
      </c>
      <c r="K90" s="75" t="str">
        <f aca="false">IF(I90="","",I90+J90)</f>
        <v/>
      </c>
      <c r="L90" s="75" t="str">
        <f aca="false">IF(F51="","",IF(6&gt;IF(F54="",10,F54),"",F51*(1+IF(F52="",0,F52))^ROUNDDOWN((6-1)/IF(F53="",5,F53),0)))</f>
        <v/>
      </c>
      <c r="M90" s="75" t="str">
        <f aca="false">IF(L90="","",IF((IF(F61="",IF($D$33="",0,$D$33),F61))=0,0,MAX(0,3598199.34-(IF(F62&lt;&gt;"",F62,IF($D$35&lt;&gt;"",$D$35,IF((IF(F61="",IF($D$33="",0,$D$33),F61))=0,0,F51/(IF(F61="",IF($D$33="",0,$D$33),F61)))))))*(IF(F61="",IF($D$33="",0,$D$33),F61))))</f>
        <v/>
      </c>
      <c r="N90" s="75" t="str">
        <f aca="false">IF(L90="","",L90+M90)</f>
        <v/>
      </c>
      <c r="O90" s="75" t="str">
        <f aca="false">IF(G51="","",IF(6&gt;IF(G54="",10,G54),"",G51*(1+IF(G52="",0,G52))^ROUNDDOWN((6-1)/IF(G53="",5,G53),0)))</f>
        <v/>
      </c>
      <c r="P90" s="75" t="str">
        <f aca="false">IF(O90="","",IF((IF(G61="",IF($D$33="",0,$D$33),G61))=0,0,MAX(0,3598199.34-(IF(G62&lt;&gt;"",G62,IF($D$35&lt;&gt;"",$D$35,IF((IF(G61="",IF($D$33="",0,$D$33),G61))=0,0,G51/(IF(G61="",IF($D$33="",0,$D$33),G61)))))))*(IF(G61="",IF($D$33="",0,$D$33),G61))))</f>
        <v/>
      </c>
      <c r="Q90" s="75" t="str">
        <f aca="false">IF(O90="","",O90+P90)</f>
        <v/>
      </c>
      <c r="R90" s="75" t="str">
        <f aca="false">IF(H51="","",IF(6&gt;IF(H54="",10,H54),"",H51*(1+IF(H52="",0,H52))^ROUNDDOWN((6-1)/IF(H53="",5,H53),0)))</f>
        <v/>
      </c>
      <c r="S90" s="75" t="str">
        <f aca="false">IF(R90="","",IF((IF(H61="",IF($D$33="",0,$D$33),H61))=0,0,MAX(0,3598199.34-(IF(H62&lt;&gt;"",H62,IF($D$35&lt;&gt;"",$D$35,IF((IF(H61="",IF($D$33="",0,$D$33),H61))=0,0,H51/(IF(H61="",IF($D$33="",0,$D$33),H61)))))))*(IF(H61="",IF($D$33="",0,$D$33),H61))))</f>
        <v/>
      </c>
      <c r="T90" s="75" t="str">
        <f aca="false">IF(R90="","",R90+S90)</f>
        <v/>
      </c>
    </row>
    <row r="91" customFormat="false" ht="15" hidden="false" customHeight="false" outlineLevel="0" collapsed="false">
      <c r="A91" s="74" t="n">
        <v>7</v>
      </c>
      <c r="B91" s="75" t="n">
        <v>3670163</v>
      </c>
      <c r="C91" s="76" t="n">
        <v>163140</v>
      </c>
      <c r="D91" s="76" t="n">
        <v>0</v>
      </c>
      <c r="E91" s="76" t="n">
        <v>163140</v>
      </c>
      <c r="F91" s="75" t="n">
        <f aca="false">IF(D51="","",IF(7&gt;IF(D54="",10,D54),"",D51*(1+IF(D52="",0,D52))^ROUNDDOWN((7-1)/IF(D53="",5,D53),0)))</f>
        <v>166402.8</v>
      </c>
      <c r="G91" s="75" t="n">
        <f aca="false">IF(F91="","",IF((IF(D61="",IF($D$33="",0,$D$33),D61))=0,0,MAX(0,3670163.32-(IF(D62&lt;&gt;"",D62,IF($D$35&lt;&gt;"",$D$35,IF((IF(D61="",IF($D$33="",0,$D$33),D61))=0,0,D51/(IF(D61="",IF($D$33="",0,$D$33),D61)))))))*(IF(D61="",IF($D$33="",0,$D$33),D61))))</f>
        <v>0</v>
      </c>
      <c r="H91" s="75" t="n">
        <f aca="false">IF(F91="","",F91+G91)</f>
        <v>166402.8</v>
      </c>
      <c r="I91" s="75" t="str">
        <f aca="false">IF(E51="","",IF(7&gt;IF(E54="",10,E54),"",E51*(1+IF(E52="",0,E52))^ROUNDDOWN((7-1)/IF(E53="",5,E53),0)))</f>
        <v/>
      </c>
      <c r="J91" s="75" t="str">
        <f aca="false">IF(I91="","",IF((IF(E61="",IF($D$33="",0,$D$33),E61))=0,0,MAX(0,3670163.32-(IF(E62&lt;&gt;"",E62,IF($D$35&lt;&gt;"",$D$35,IF((IF(E61="",IF($D$33="",0,$D$33),E61))=0,0,E51/(IF(E61="",IF($D$33="",0,$D$33),E61)))))))*(IF(E61="",IF($D$33="",0,$D$33),E61))))</f>
        <v/>
      </c>
      <c r="K91" s="75" t="str">
        <f aca="false">IF(I91="","",I91+J91)</f>
        <v/>
      </c>
      <c r="L91" s="75" t="str">
        <f aca="false">IF(F51="","",IF(7&gt;IF(F54="",10,F54),"",F51*(1+IF(F52="",0,F52))^ROUNDDOWN((7-1)/IF(F53="",5,F53),0)))</f>
        <v/>
      </c>
      <c r="M91" s="75" t="str">
        <f aca="false">IF(L91="","",IF((IF(F61="",IF($D$33="",0,$D$33),F61))=0,0,MAX(0,3670163.32-(IF(F62&lt;&gt;"",F62,IF($D$35&lt;&gt;"",$D$35,IF((IF(F61="",IF($D$33="",0,$D$33),F61))=0,0,F51/(IF(F61="",IF($D$33="",0,$D$33),F61)))))))*(IF(F61="",IF($D$33="",0,$D$33),F61))))</f>
        <v/>
      </c>
      <c r="N91" s="75" t="str">
        <f aca="false">IF(L91="","",L91+M91)</f>
        <v/>
      </c>
      <c r="O91" s="75" t="str">
        <f aca="false">IF(G51="","",IF(7&gt;IF(G54="",10,G54),"",G51*(1+IF(G52="",0,G52))^ROUNDDOWN((7-1)/IF(G53="",5,G53),0)))</f>
        <v/>
      </c>
      <c r="P91" s="75" t="str">
        <f aca="false">IF(O91="","",IF((IF(G61="",IF($D$33="",0,$D$33),G61))=0,0,MAX(0,3670163.32-(IF(G62&lt;&gt;"",G62,IF($D$35&lt;&gt;"",$D$35,IF((IF(G61="",IF($D$33="",0,$D$33),G61))=0,0,G51/(IF(G61="",IF($D$33="",0,$D$33),G61)))))))*(IF(G61="",IF($D$33="",0,$D$33),G61))))</f>
        <v/>
      </c>
      <c r="Q91" s="75" t="str">
        <f aca="false">IF(O91="","",O91+P91)</f>
        <v/>
      </c>
      <c r="R91" s="75" t="str">
        <f aca="false">IF(H51="","",IF(7&gt;IF(H54="",10,H54),"",H51*(1+IF(H52="",0,H52))^ROUNDDOWN((7-1)/IF(H53="",5,H53),0)))</f>
        <v/>
      </c>
      <c r="S91" s="75" t="str">
        <f aca="false">IF(R91="","",IF((IF(H61="",IF($D$33="",0,$D$33),H61))=0,0,MAX(0,3670163.32-(IF(H62&lt;&gt;"",H62,IF($D$35&lt;&gt;"",$D$35,IF((IF(H61="",IF($D$33="",0,$D$33),H61))=0,0,H51/(IF(H61="",IF($D$33="",0,$D$33),H61)))))))*(IF(H61="",IF($D$33="",0,$D$33),H61))))</f>
        <v/>
      </c>
      <c r="T91" s="75" t="str">
        <f aca="false">IF(R91="","",R91+S91)</f>
        <v/>
      </c>
    </row>
    <row r="92" customFormat="false" ht="15" hidden="false" customHeight="false" outlineLevel="0" collapsed="false">
      <c r="A92" s="74" t="n">
        <v>8</v>
      </c>
      <c r="B92" s="75" t="n">
        <v>3743567</v>
      </c>
      <c r="C92" s="76" t="n">
        <v>163140</v>
      </c>
      <c r="D92" s="76" t="n">
        <v>0</v>
      </c>
      <c r="E92" s="76" t="n">
        <v>163140</v>
      </c>
      <c r="F92" s="75" t="n">
        <f aca="false">IF(D51="","",IF(8&gt;IF(D54="",10,D54),"",D51*(1+IF(D52="",0,D52))^ROUNDDOWN((8-1)/IF(D53="",5,D53),0)))</f>
        <v>166402.8</v>
      </c>
      <c r="G92" s="75" t="n">
        <f aca="false">IF(F92="","",IF((IF(D61="",IF($D$33="",0,$D$33),D61))=0,0,MAX(0,3743566.59-(IF(D62&lt;&gt;"",D62,IF($D$35&lt;&gt;"",$D$35,IF((IF(D61="",IF($D$33="",0,$D$33),D61))=0,0,D51/(IF(D61="",IF($D$33="",0,$D$33),D61)))))))*(IF(D61="",IF($D$33="",0,$D$33),D61))))</f>
        <v>0</v>
      </c>
      <c r="H92" s="75" t="n">
        <f aca="false">IF(F92="","",F92+G92)</f>
        <v>166402.8</v>
      </c>
      <c r="I92" s="75" t="str">
        <f aca="false">IF(E51="","",IF(8&gt;IF(E54="",10,E54),"",E51*(1+IF(E52="",0,E52))^ROUNDDOWN((8-1)/IF(E53="",5,E53),0)))</f>
        <v/>
      </c>
      <c r="J92" s="75" t="str">
        <f aca="false">IF(I92="","",IF((IF(E61="",IF($D$33="",0,$D$33),E61))=0,0,MAX(0,3743566.59-(IF(E62&lt;&gt;"",E62,IF($D$35&lt;&gt;"",$D$35,IF((IF(E61="",IF($D$33="",0,$D$33),E61))=0,0,E51/(IF(E61="",IF($D$33="",0,$D$33),E61)))))))*(IF(E61="",IF($D$33="",0,$D$33),E61))))</f>
        <v/>
      </c>
      <c r="K92" s="75" t="str">
        <f aca="false">IF(I92="","",I92+J92)</f>
        <v/>
      </c>
      <c r="L92" s="75" t="str">
        <f aca="false">IF(F51="","",IF(8&gt;IF(F54="",10,F54),"",F51*(1+IF(F52="",0,F52))^ROUNDDOWN((8-1)/IF(F53="",5,F53),0)))</f>
        <v/>
      </c>
      <c r="M92" s="75" t="str">
        <f aca="false">IF(L92="","",IF((IF(F61="",IF($D$33="",0,$D$33),F61))=0,0,MAX(0,3743566.59-(IF(F62&lt;&gt;"",F62,IF($D$35&lt;&gt;"",$D$35,IF((IF(F61="",IF($D$33="",0,$D$33),F61))=0,0,F51/(IF(F61="",IF($D$33="",0,$D$33),F61)))))))*(IF(F61="",IF($D$33="",0,$D$33),F61))))</f>
        <v/>
      </c>
      <c r="N92" s="75" t="str">
        <f aca="false">IF(L92="","",L92+M92)</f>
        <v/>
      </c>
      <c r="O92" s="75" t="str">
        <f aca="false">IF(G51="","",IF(8&gt;IF(G54="",10,G54),"",G51*(1+IF(G52="",0,G52))^ROUNDDOWN((8-1)/IF(G53="",5,G53),0)))</f>
        <v/>
      </c>
      <c r="P92" s="75" t="str">
        <f aca="false">IF(O92="","",IF((IF(G61="",IF($D$33="",0,$D$33),G61))=0,0,MAX(0,3743566.59-(IF(G62&lt;&gt;"",G62,IF($D$35&lt;&gt;"",$D$35,IF((IF(G61="",IF($D$33="",0,$D$33),G61))=0,0,G51/(IF(G61="",IF($D$33="",0,$D$33),G61)))))))*(IF(G61="",IF($D$33="",0,$D$33),G61))))</f>
        <v/>
      </c>
      <c r="Q92" s="75" t="str">
        <f aca="false">IF(O92="","",O92+P92)</f>
        <v/>
      </c>
      <c r="R92" s="75" t="str">
        <f aca="false">IF(H51="","",IF(8&gt;IF(H54="",10,H54),"",H51*(1+IF(H52="",0,H52))^ROUNDDOWN((8-1)/IF(H53="",5,H53),0)))</f>
        <v/>
      </c>
      <c r="S92" s="75" t="str">
        <f aca="false">IF(R92="","",IF((IF(H61="",IF($D$33="",0,$D$33),H61))=0,0,MAX(0,3743566.59-(IF(H62&lt;&gt;"",H62,IF($D$35&lt;&gt;"",$D$35,IF((IF(H61="",IF($D$33="",0,$D$33),H61))=0,0,H51/(IF(H61="",IF($D$33="",0,$D$33),H61)))))))*(IF(H61="",IF($D$33="",0,$D$33),H61))))</f>
        <v/>
      </c>
      <c r="T92" s="75" t="str">
        <f aca="false">IF(R92="","",R92+S92)</f>
        <v/>
      </c>
    </row>
    <row r="93" customFormat="false" ht="15" hidden="false" customHeight="false" outlineLevel="0" collapsed="false">
      <c r="A93" s="74" t="n">
        <v>9</v>
      </c>
      <c r="B93" s="75" t="n">
        <v>3818438</v>
      </c>
      <c r="C93" s="76" t="n">
        <v>163140</v>
      </c>
      <c r="D93" s="76" t="n">
        <v>0</v>
      </c>
      <c r="E93" s="76" t="n">
        <v>163140</v>
      </c>
      <c r="F93" s="75" t="n">
        <f aca="false">IF(D51="","",IF(9&gt;IF(D54="",10,D54),"",D51*(1+IF(D52="",0,D52))^ROUNDDOWN((9-1)/IF(D53="",5,D53),0)))</f>
        <v>166402.8</v>
      </c>
      <c r="G93" s="75" t="n">
        <f aca="false">IF(F93="","",IF((IF(D61="",IF($D$33="",0,$D$33),D61))=0,0,MAX(0,3818437.92-(IF(D62&lt;&gt;"",D62,IF($D$35&lt;&gt;"",$D$35,IF((IF(D61="",IF($D$33="",0,$D$33),D61))=0,0,D51/(IF(D61="",IF($D$33="",0,$D$33),D61)))))))*(IF(D61="",IF($D$33="",0,$D$33),D61))))</f>
        <v>0</v>
      </c>
      <c r="H93" s="75" t="n">
        <f aca="false">IF(F93="","",F93+G93)</f>
        <v>166402.8</v>
      </c>
      <c r="I93" s="75" t="str">
        <f aca="false">IF(E51="","",IF(9&gt;IF(E54="",10,E54),"",E51*(1+IF(E52="",0,E52))^ROUNDDOWN((9-1)/IF(E53="",5,E53),0)))</f>
        <v/>
      </c>
      <c r="J93" s="75" t="str">
        <f aca="false">IF(I93="","",IF((IF(E61="",IF($D$33="",0,$D$33),E61))=0,0,MAX(0,3818437.92-(IF(E62&lt;&gt;"",E62,IF($D$35&lt;&gt;"",$D$35,IF((IF(E61="",IF($D$33="",0,$D$33),E61))=0,0,E51/(IF(E61="",IF($D$33="",0,$D$33),E61)))))))*(IF(E61="",IF($D$33="",0,$D$33),E61))))</f>
        <v/>
      </c>
      <c r="K93" s="75" t="str">
        <f aca="false">IF(I93="","",I93+J93)</f>
        <v/>
      </c>
      <c r="L93" s="75" t="str">
        <f aca="false">IF(F51="","",IF(9&gt;IF(F54="",10,F54),"",F51*(1+IF(F52="",0,F52))^ROUNDDOWN((9-1)/IF(F53="",5,F53),0)))</f>
        <v/>
      </c>
      <c r="M93" s="75" t="str">
        <f aca="false">IF(L93="","",IF((IF(F61="",IF($D$33="",0,$D$33),F61))=0,0,MAX(0,3818437.92-(IF(F62&lt;&gt;"",F62,IF($D$35&lt;&gt;"",$D$35,IF((IF(F61="",IF($D$33="",0,$D$33),F61))=0,0,F51/(IF(F61="",IF($D$33="",0,$D$33),F61)))))))*(IF(F61="",IF($D$33="",0,$D$33),F61))))</f>
        <v/>
      </c>
      <c r="N93" s="75" t="str">
        <f aca="false">IF(L93="","",L93+M93)</f>
        <v/>
      </c>
      <c r="O93" s="75" t="str">
        <f aca="false">IF(G51="","",IF(9&gt;IF(G54="",10,G54),"",G51*(1+IF(G52="",0,G52))^ROUNDDOWN((9-1)/IF(G53="",5,G53),0)))</f>
        <v/>
      </c>
      <c r="P93" s="75" t="str">
        <f aca="false">IF(O93="","",IF((IF(G61="",IF($D$33="",0,$D$33),G61))=0,0,MAX(0,3818437.92-(IF(G62&lt;&gt;"",G62,IF($D$35&lt;&gt;"",$D$35,IF((IF(G61="",IF($D$33="",0,$D$33),G61))=0,0,G51/(IF(G61="",IF($D$33="",0,$D$33),G61)))))))*(IF(G61="",IF($D$33="",0,$D$33),G61))))</f>
        <v/>
      </c>
      <c r="Q93" s="75" t="str">
        <f aca="false">IF(O93="","",O93+P93)</f>
        <v/>
      </c>
      <c r="R93" s="75" t="str">
        <f aca="false">IF(H51="","",IF(9&gt;IF(H54="",10,H54),"",H51*(1+IF(H52="",0,H52))^ROUNDDOWN((9-1)/IF(H53="",5,H53),0)))</f>
        <v/>
      </c>
      <c r="S93" s="75" t="str">
        <f aca="false">IF(R93="","",IF((IF(H61="",IF($D$33="",0,$D$33),H61))=0,0,MAX(0,3818437.92-(IF(H62&lt;&gt;"",H62,IF($D$35&lt;&gt;"",$D$35,IF((IF(H61="",IF($D$33="",0,$D$33),H61))=0,0,H51/(IF(H61="",IF($D$33="",0,$D$33),H61)))))))*(IF(H61="",IF($D$33="",0,$D$33),H61))))</f>
        <v/>
      </c>
      <c r="T93" s="75" t="str">
        <f aca="false">IF(R93="","",R93+S93)</f>
        <v/>
      </c>
    </row>
    <row r="94" customFormat="false" ht="15" hidden="false" customHeight="false" outlineLevel="0" collapsed="false">
      <c r="A94" s="74" t="n">
        <v>10</v>
      </c>
      <c r="B94" s="75" t="n">
        <v>3894807</v>
      </c>
      <c r="C94" s="76" t="n">
        <v>163140</v>
      </c>
      <c r="D94" s="76" t="n">
        <v>0</v>
      </c>
      <c r="E94" s="76" t="n">
        <v>163140</v>
      </c>
      <c r="F94" s="75" t="n">
        <f aca="false">IF(D51="","",IF(10&gt;IF(D54="",10,D54),"",D51*(1+IF(D52="",0,D52))^ROUNDDOWN((10-1)/IF(D53="",5,D53),0)))</f>
        <v>166402.8</v>
      </c>
      <c r="G94" s="75" t="n">
        <f aca="false">IF(F94="","",IF((IF(D61="",IF($D$33="",0,$D$33),D61))=0,0,MAX(0,3894806.68-(IF(D62&lt;&gt;"",D62,IF($D$35&lt;&gt;"",$D$35,IF((IF(D61="",IF($D$33="",0,$D$33),D61))=0,0,D51/(IF(D61="",IF($D$33="",0,$D$33),D61)))))))*(IF(D61="",IF($D$33="",0,$D$33),D61))))</f>
        <v>0</v>
      </c>
      <c r="H94" s="75" t="n">
        <f aca="false">IF(F94="","",F94+G94)</f>
        <v>166402.8</v>
      </c>
      <c r="I94" s="75" t="str">
        <f aca="false">IF(E51="","",IF(10&gt;IF(E54="",10,E54),"",E51*(1+IF(E52="",0,E52))^ROUNDDOWN((10-1)/IF(E53="",5,E53),0)))</f>
        <v/>
      </c>
      <c r="J94" s="75" t="str">
        <f aca="false">IF(I94="","",IF((IF(E61="",IF($D$33="",0,$D$33),E61))=0,0,MAX(0,3894806.68-(IF(E62&lt;&gt;"",E62,IF($D$35&lt;&gt;"",$D$35,IF((IF(E61="",IF($D$33="",0,$D$33),E61))=0,0,E51/(IF(E61="",IF($D$33="",0,$D$33),E61)))))))*(IF(E61="",IF($D$33="",0,$D$33),E61))))</f>
        <v/>
      </c>
      <c r="K94" s="75" t="str">
        <f aca="false">IF(I94="","",I94+J94)</f>
        <v/>
      </c>
      <c r="L94" s="75" t="str">
        <f aca="false">IF(F51="","",IF(10&gt;IF(F54="",10,F54),"",F51*(1+IF(F52="",0,F52))^ROUNDDOWN((10-1)/IF(F53="",5,F53),0)))</f>
        <v/>
      </c>
      <c r="M94" s="75" t="str">
        <f aca="false">IF(L94="","",IF((IF(F61="",IF($D$33="",0,$D$33),F61))=0,0,MAX(0,3894806.68-(IF(F62&lt;&gt;"",F62,IF($D$35&lt;&gt;"",$D$35,IF((IF(F61="",IF($D$33="",0,$D$33),F61))=0,0,F51/(IF(F61="",IF($D$33="",0,$D$33),F61)))))))*(IF(F61="",IF($D$33="",0,$D$33),F61))))</f>
        <v/>
      </c>
      <c r="N94" s="75" t="str">
        <f aca="false">IF(L94="","",L94+M94)</f>
        <v/>
      </c>
      <c r="O94" s="75" t="str">
        <f aca="false">IF(G51="","",IF(10&gt;IF(G54="",10,G54),"",G51*(1+IF(G52="",0,G52))^ROUNDDOWN((10-1)/IF(G53="",5,G53),0)))</f>
        <v/>
      </c>
      <c r="P94" s="75" t="str">
        <f aca="false">IF(O94="","",IF((IF(G61="",IF($D$33="",0,$D$33),G61))=0,0,MAX(0,3894806.68-(IF(G62&lt;&gt;"",G62,IF($D$35&lt;&gt;"",$D$35,IF((IF(G61="",IF($D$33="",0,$D$33),G61))=0,0,G51/(IF(G61="",IF($D$33="",0,$D$33),G61)))))))*(IF(G61="",IF($D$33="",0,$D$33),G61))))</f>
        <v/>
      </c>
      <c r="Q94" s="75" t="str">
        <f aca="false">IF(O94="","",O94+P94)</f>
        <v/>
      </c>
      <c r="R94" s="75" t="str">
        <f aca="false">IF(H51="","",IF(10&gt;IF(H54="",10,H54),"",H51*(1+IF(H52="",0,H52))^ROUNDDOWN((10-1)/IF(H53="",5,H53),0)))</f>
        <v/>
      </c>
      <c r="S94" s="75" t="str">
        <f aca="false">IF(R94="","",IF((IF(H61="",IF($D$33="",0,$D$33),H61))=0,0,MAX(0,3894806.68-(IF(H62&lt;&gt;"",H62,IF($D$35&lt;&gt;"",$D$35,IF((IF(H61="",IF($D$33="",0,$D$33),H61))=0,0,H51/(IF(H61="",IF($D$33="",0,$D$33),H61)))))))*(IF(H61="",IF($D$33="",0,$D$33),H61))))</f>
        <v/>
      </c>
      <c r="T94" s="75" t="str">
        <f aca="false">IF(R94="","",R94+S94)</f>
        <v/>
      </c>
    </row>
    <row r="95" customFormat="false" ht="15" hidden="false" customHeight="false" outlineLevel="0" collapsed="false">
      <c r="A95" s="74" t="n">
        <v>11</v>
      </c>
      <c r="B95" s="75" t="n">
        <v>3972703</v>
      </c>
      <c r="C95" s="76" t="n">
        <v>163140</v>
      </c>
      <c r="D95" s="76" t="n">
        <v>0</v>
      </c>
      <c r="E95" s="76" t="n">
        <v>163140</v>
      </c>
      <c r="F95" s="75" t="n">
        <f aca="false">IF(D51="","",IF(11&gt;IF(D54="",10,D54),"",D51*(1+IF(D52="",0,D52))^ROUNDDOWN((11-1)/IF(D53="",5,D53),0)))</f>
        <v>169730.856</v>
      </c>
      <c r="G95" s="75" t="n">
        <f aca="false">IF(F95="","",IF((IF(D61="",IF($D$33="",0,$D$33),D61))=0,0,MAX(0,3972702.81-(IF(D62&lt;&gt;"",D62,IF($D$35&lt;&gt;"",$D$35,IF((IF(D61="",IF($D$33="",0,$D$33),D61))=0,0,D51/(IF(D61="",IF($D$33="",0,$D$33),D61)))))))*(IF(D61="",IF($D$33="",0,$D$33),D61))))</f>
        <v>0</v>
      </c>
      <c r="H95" s="75" t="n">
        <f aca="false">IF(F95="","",F95+G95)</f>
        <v>169730.856</v>
      </c>
      <c r="I95" s="75" t="str">
        <f aca="false">IF(E51="","",IF(11&gt;IF(E54="",10,E54),"",E51*(1+IF(E52="",0,E52))^ROUNDDOWN((11-1)/IF(E53="",5,E53),0)))</f>
        <v/>
      </c>
      <c r="J95" s="75" t="str">
        <f aca="false">IF(I95="","",IF((IF(E61="",IF($D$33="",0,$D$33),E61))=0,0,MAX(0,3972702.81-(IF(E62&lt;&gt;"",E62,IF($D$35&lt;&gt;"",$D$35,IF((IF(E61="",IF($D$33="",0,$D$33),E61))=0,0,E51/(IF(E61="",IF($D$33="",0,$D$33),E61)))))))*(IF(E61="",IF($D$33="",0,$D$33),E61))))</f>
        <v/>
      </c>
      <c r="K95" s="75" t="str">
        <f aca="false">IF(I95="","",I95+J95)</f>
        <v/>
      </c>
      <c r="L95" s="75" t="str">
        <f aca="false">IF(F51="","",IF(11&gt;IF(F54="",10,F54),"",F51*(1+IF(F52="",0,F52))^ROUNDDOWN((11-1)/IF(F53="",5,F53),0)))</f>
        <v/>
      </c>
      <c r="M95" s="75" t="str">
        <f aca="false">IF(L95="","",IF((IF(F61="",IF($D$33="",0,$D$33),F61))=0,0,MAX(0,3972702.81-(IF(F62&lt;&gt;"",F62,IF($D$35&lt;&gt;"",$D$35,IF((IF(F61="",IF($D$33="",0,$D$33),F61))=0,0,F51/(IF(F61="",IF($D$33="",0,$D$33),F61)))))))*(IF(F61="",IF($D$33="",0,$D$33),F61))))</f>
        <v/>
      </c>
      <c r="N95" s="75" t="str">
        <f aca="false">IF(L95="","",L95+M95)</f>
        <v/>
      </c>
      <c r="O95" s="75" t="str">
        <f aca="false">IF(G51="","",IF(11&gt;IF(G54="",10,G54),"",G51*(1+IF(G52="",0,G52))^ROUNDDOWN((11-1)/IF(G53="",5,G53),0)))</f>
        <v/>
      </c>
      <c r="P95" s="75" t="str">
        <f aca="false">IF(O95="","",IF((IF(G61="",IF($D$33="",0,$D$33),G61))=0,0,MAX(0,3972702.81-(IF(G62&lt;&gt;"",G62,IF($D$35&lt;&gt;"",$D$35,IF((IF(G61="",IF($D$33="",0,$D$33),G61))=0,0,G51/(IF(G61="",IF($D$33="",0,$D$33),G61)))))))*(IF(G61="",IF($D$33="",0,$D$33),G61))))</f>
        <v/>
      </c>
      <c r="Q95" s="75" t="str">
        <f aca="false">IF(O95="","",O95+P95)</f>
        <v/>
      </c>
      <c r="R95" s="75" t="str">
        <f aca="false">IF(H51="","",IF(11&gt;IF(H54="",10,H54),"",H51*(1+IF(H52="",0,H52))^ROUNDDOWN((11-1)/IF(H53="",5,H53),0)))</f>
        <v/>
      </c>
      <c r="S95" s="75" t="str">
        <f aca="false">IF(R95="","",IF((IF(H61="",IF($D$33="",0,$D$33),H61))=0,0,MAX(0,3972702.81-(IF(H62&lt;&gt;"",H62,IF($D$35&lt;&gt;"",$D$35,IF((IF(H61="",IF($D$33="",0,$D$33),H61))=0,0,H51/(IF(H61="",IF($D$33="",0,$D$33),H61)))))))*(IF(H61="",IF($D$33="",0,$D$33),H61))))</f>
        <v/>
      </c>
      <c r="T95" s="75" t="str">
        <f aca="false">IF(R95="","",R95+S95)</f>
        <v/>
      </c>
    </row>
    <row r="96" customFormat="false" ht="15" hidden="false" customHeight="false" outlineLevel="0" collapsed="false">
      <c r="A96" s="74" t="n">
        <v>12</v>
      </c>
      <c r="B96" s="75" t="n">
        <v>4052157</v>
      </c>
      <c r="C96" s="76" t="n">
        <v>163140</v>
      </c>
      <c r="D96" s="76" t="n">
        <v>0</v>
      </c>
      <c r="E96" s="76" t="n">
        <v>163140</v>
      </c>
      <c r="F96" s="75" t="n">
        <f aca="false">IF(D51="","",IF(12&gt;IF(D54="",10,D54),"",D51*(1+IF(D52="",0,D52))^ROUNDDOWN((12-1)/IF(D53="",5,D53),0)))</f>
        <v>169730.856</v>
      </c>
      <c r="G96" s="75" t="n">
        <f aca="false">IF(F96="","",IF((IF(D61="",IF($D$33="",0,$D$33),D61))=0,0,MAX(0,4052156.87-(IF(D62&lt;&gt;"",D62,IF($D$35&lt;&gt;"",$D$35,IF((IF(D61="",IF($D$33="",0,$D$33),D61))=0,0,D51/(IF(D61="",IF($D$33="",0,$D$33),D61)))))))*(IF(D61="",IF($D$33="",0,$D$33),D61))))</f>
        <v>0</v>
      </c>
      <c r="H96" s="75" t="n">
        <f aca="false">IF(F96="","",F96+G96)</f>
        <v>169730.856</v>
      </c>
      <c r="I96" s="75" t="str">
        <f aca="false">IF(E51="","",IF(12&gt;IF(E54="",10,E54),"",E51*(1+IF(E52="",0,E52))^ROUNDDOWN((12-1)/IF(E53="",5,E53),0)))</f>
        <v/>
      </c>
      <c r="J96" s="75" t="str">
        <f aca="false">IF(I96="","",IF((IF(E61="",IF($D$33="",0,$D$33),E61))=0,0,MAX(0,4052156.87-(IF(E62&lt;&gt;"",E62,IF($D$35&lt;&gt;"",$D$35,IF((IF(E61="",IF($D$33="",0,$D$33),E61))=0,0,E51/(IF(E61="",IF($D$33="",0,$D$33),E61)))))))*(IF(E61="",IF($D$33="",0,$D$33),E61))))</f>
        <v/>
      </c>
      <c r="K96" s="75" t="str">
        <f aca="false">IF(I96="","",I96+J96)</f>
        <v/>
      </c>
      <c r="L96" s="75" t="str">
        <f aca="false">IF(F51="","",IF(12&gt;IF(F54="",10,F54),"",F51*(1+IF(F52="",0,F52))^ROUNDDOWN((12-1)/IF(F53="",5,F53),0)))</f>
        <v/>
      </c>
      <c r="M96" s="75" t="str">
        <f aca="false">IF(L96="","",IF((IF(F61="",IF($D$33="",0,$D$33),F61))=0,0,MAX(0,4052156.87-(IF(F62&lt;&gt;"",F62,IF($D$35&lt;&gt;"",$D$35,IF((IF(F61="",IF($D$33="",0,$D$33),F61))=0,0,F51/(IF(F61="",IF($D$33="",0,$D$33),F61)))))))*(IF(F61="",IF($D$33="",0,$D$33),F61))))</f>
        <v/>
      </c>
      <c r="N96" s="75" t="str">
        <f aca="false">IF(L96="","",L96+M96)</f>
        <v/>
      </c>
      <c r="O96" s="75" t="str">
        <f aca="false">IF(G51="","",IF(12&gt;IF(G54="",10,G54),"",G51*(1+IF(G52="",0,G52))^ROUNDDOWN((12-1)/IF(G53="",5,G53),0)))</f>
        <v/>
      </c>
      <c r="P96" s="75" t="str">
        <f aca="false">IF(O96="","",IF((IF(G61="",IF($D$33="",0,$D$33),G61))=0,0,MAX(0,4052156.87-(IF(G62&lt;&gt;"",G62,IF($D$35&lt;&gt;"",$D$35,IF((IF(G61="",IF($D$33="",0,$D$33),G61))=0,0,G51/(IF(G61="",IF($D$33="",0,$D$33),G61)))))))*(IF(G61="",IF($D$33="",0,$D$33),G61))))</f>
        <v/>
      </c>
      <c r="Q96" s="75" t="str">
        <f aca="false">IF(O96="","",O96+P96)</f>
        <v/>
      </c>
      <c r="R96" s="75" t="str">
        <f aca="false">IF(H51="","",IF(12&gt;IF(H54="",10,H54),"",H51*(1+IF(H52="",0,H52))^ROUNDDOWN((12-1)/IF(H53="",5,H53),0)))</f>
        <v/>
      </c>
      <c r="S96" s="75" t="str">
        <f aca="false">IF(R96="","",IF((IF(H61="",IF($D$33="",0,$D$33),H61))=0,0,MAX(0,4052156.87-(IF(H62&lt;&gt;"",H62,IF($D$35&lt;&gt;"",$D$35,IF((IF(H61="",IF($D$33="",0,$D$33),H61))=0,0,H51/(IF(H61="",IF($D$33="",0,$D$33),H61)))))))*(IF(H61="",IF($D$33="",0,$D$33),H61))))</f>
        <v/>
      </c>
      <c r="T96" s="75" t="str">
        <f aca="false">IF(R96="","",R96+S96)</f>
        <v/>
      </c>
    </row>
    <row r="97" customFormat="false" ht="15" hidden="false" customHeight="false" outlineLevel="0" collapsed="false">
      <c r="A97" s="74" t="n">
        <v>13</v>
      </c>
      <c r="B97" s="75" t="n">
        <v>4133200</v>
      </c>
      <c r="C97" s="76" t="n">
        <v>163140</v>
      </c>
      <c r="D97" s="76" t="n">
        <v>0</v>
      </c>
      <c r="E97" s="76" t="n">
        <v>163140</v>
      </c>
      <c r="F97" s="75" t="n">
        <f aca="false">IF(D51="","",IF(13&gt;IF(D54="",10,D54),"",D51*(1+IF(D52="",0,D52))^ROUNDDOWN((13-1)/IF(D53="",5,D53),0)))</f>
        <v>169730.856</v>
      </c>
      <c r="G97" s="75" t="n">
        <f aca="false">IF(F97="","",IF((IF(D61="",IF($D$33="",0,$D$33),D61))=0,0,MAX(0,4133200.01-(IF(D62&lt;&gt;"",D62,IF($D$35&lt;&gt;"",$D$35,IF((IF(D61="",IF($D$33="",0,$D$33),D61))=0,0,D51/(IF(D61="",IF($D$33="",0,$D$33),D61)))))))*(IF(D61="",IF($D$33="",0,$D$33),D61))))</f>
        <v>0</v>
      </c>
      <c r="H97" s="75" t="n">
        <f aca="false">IF(F97="","",F97+G97)</f>
        <v>169730.856</v>
      </c>
      <c r="I97" s="75" t="str">
        <f aca="false">IF(E51="","",IF(13&gt;IF(E54="",10,E54),"",E51*(1+IF(E52="",0,E52))^ROUNDDOWN((13-1)/IF(E53="",5,E53),0)))</f>
        <v/>
      </c>
      <c r="J97" s="75" t="str">
        <f aca="false">IF(I97="","",IF((IF(E61="",IF($D$33="",0,$D$33),E61))=0,0,MAX(0,4133200.01-(IF(E62&lt;&gt;"",E62,IF($D$35&lt;&gt;"",$D$35,IF((IF(E61="",IF($D$33="",0,$D$33),E61))=0,0,E51/(IF(E61="",IF($D$33="",0,$D$33),E61)))))))*(IF(E61="",IF($D$33="",0,$D$33),E61))))</f>
        <v/>
      </c>
      <c r="K97" s="75" t="str">
        <f aca="false">IF(I97="","",I97+J97)</f>
        <v/>
      </c>
      <c r="L97" s="75" t="str">
        <f aca="false">IF(F51="","",IF(13&gt;IF(F54="",10,F54),"",F51*(1+IF(F52="",0,F52))^ROUNDDOWN((13-1)/IF(F53="",5,F53),0)))</f>
        <v/>
      </c>
      <c r="M97" s="75" t="str">
        <f aca="false">IF(L97="","",IF((IF(F61="",IF($D$33="",0,$D$33),F61))=0,0,MAX(0,4133200.01-(IF(F62&lt;&gt;"",F62,IF($D$35&lt;&gt;"",$D$35,IF((IF(F61="",IF($D$33="",0,$D$33),F61))=0,0,F51/(IF(F61="",IF($D$33="",0,$D$33),F61)))))))*(IF(F61="",IF($D$33="",0,$D$33),F61))))</f>
        <v/>
      </c>
      <c r="N97" s="75" t="str">
        <f aca="false">IF(L97="","",L97+M97)</f>
        <v/>
      </c>
      <c r="O97" s="75" t="str">
        <f aca="false">IF(G51="","",IF(13&gt;IF(G54="",10,G54),"",G51*(1+IF(G52="",0,G52))^ROUNDDOWN((13-1)/IF(G53="",5,G53),0)))</f>
        <v/>
      </c>
      <c r="P97" s="75" t="str">
        <f aca="false">IF(O97="","",IF((IF(G61="",IF($D$33="",0,$D$33),G61))=0,0,MAX(0,4133200.01-(IF(G62&lt;&gt;"",G62,IF($D$35&lt;&gt;"",$D$35,IF((IF(G61="",IF($D$33="",0,$D$33),G61))=0,0,G51/(IF(G61="",IF($D$33="",0,$D$33),G61)))))))*(IF(G61="",IF($D$33="",0,$D$33),G61))))</f>
        <v/>
      </c>
      <c r="Q97" s="75" t="str">
        <f aca="false">IF(O97="","",O97+P97)</f>
        <v/>
      </c>
      <c r="R97" s="75" t="str">
        <f aca="false">IF(H51="","",IF(13&gt;IF(H54="",10,H54),"",H51*(1+IF(H52="",0,H52))^ROUNDDOWN((13-1)/IF(H53="",5,H53),0)))</f>
        <v/>
      </c>
      <c r="S97" s="75" t="str">
        <f aca="false">IF(R97="","",IF((IF(H61="",IF($D$33="",0,$D$33),H61))=0,0,MAX(0,4133200.01-(IF(H62&lt;&gt;"",H62,IF($D$35&lt;&gt;"",$D$35,IF((IF(H61="",IF($D$33="",0,$D$33),H61))=0,0,H51/(IF(H61="",IF($D$33="",0,$D$33),H61)))))))*(IF(H61="",IF($D$33="",0,$D$33),H61))))</f>
        <v/>
      </c>
      <c r="T97" s="75" t="str">
        <f aca="false">IF(R97="","",R97+S97)</f>
        <v/>
      </c>
    </row>
    <row r="98" customFormat="false" ht="15" hidden="false" customHeight="false" outlineLevel="0" collapsed="false">
      <c r="A98" s="74" t="n">
        <v>14</v>
      </c>
      <c r="B98" s="75" t="n">
        <v>4215864</v>
      </c>
      <c r="C98" s="76" t="n">
        <v>163140</v>
      </c>
      <c r="D98" s="76" t="n">
        <v>0</v>
      </c>
      <c r="E98" s="76" t="n">
        <v>163140</v>
      </c>
      <c r="F98" s="75" t="n">
        <f aca="false">IF(D51="","",IF(14&gt;IF(D54="",10,D54),"",D51*(1+IF(D52="",0,D52))^ROUNDDOWN((14-1)/IF(D53="",5,D53),0)))</f>
        <v>169730.856</v>
      </c>
      <c r="G98" s="75" t="n">
        <f aca="false">IF(F98="","",IF((IF(D61="",IF($D$33="",0,$D$33),D61))=0,0,MAX(0,4215864.01-(IF(D62&lt;&gt;"",D62,IF($D$35&lt;&gt;"",$D$35,IF((IF(D61="",IF($D$33="",0,$D$33),D61))=0,0,D51/(IF(D61="",IF($D$33="",0,$D$33),D61)))))))*(IF(D61="",IF($D$33="",0,$D$33),D61))))</f>
        <v>0</v>
      </c>
      <c r="H98" s="75" t="n">
        <f aca="false">IF(F98="","",F98+G98)</f>
        <v>169730.856</v>
      </c>
      <c r="I98" s="75" t="str">
        <f aca="false">IF(E51="","",IF(14&gt;IF(E54="",10,E54),"",E51*(1+IF(E52="",0,E52))^ROUNDDOWN((14-1)/IF(E53="",5,E53),0)))</f>
        <v/>
      </c>
      <c r="J98" s="75" t="str">
        <f aca="false">IF(I98="","",IF((IF(E61="",IF($D$33="",0,$D$33),E61))=0,0,MAX(0,4215864.01-(IF(E62&lt;&gt;"",E62,IF($D$35&lt;&gt;"",$D$35,IF((IF(E61="",IF($D$33="",0,$D$33),E61))=0,0,E51/(IF(E61="",IF($D$33="",0,$D$33),E61)))))))*(IF(E61="",IF($D$33="",0,$D$33),E61))))</f>
        <v/>
      </c>
      <c r="K98" s="75" t="str">
        <f aca="false">IF(I98="","",I98+J98)</f>
        <v/>
      </c>
      <c r="L98" s="75" t="str">
        <f aca="false">IF(F51="","",IF(14&gt;IF(F54="",10,F54),"",F51*(1+IF(F52="",0,F52))^ROUNDDOWN((14-1)/IF(F53="",5,F53),0)))</f>
        <v/>
      </c>
      <c r="M98" s="75" t="str">
        <f aca="false">IF(L98="","",IF((IF(F61="",IF($D$33="",0,$D$33),F61))=0,0,MAX(0,4215864.01-(IF(F62&lt;&gt;"",F62,IF($D$35&lt;&gt;"",$D$35,IF((IF(F61="",IF($D$33="",0,$D$33),F61))=0,0,F51/(IF(F61="",IF($D$33="",0,$D$33),F61)))))))*(IF(F61="",IF($D$33="",0,$D$33),F61))))</f>
        <v/>
      </c>
      <c r="N98" s="75" t="str">
        <f aca="false">IF(L98="","",L98+M98)</f>
        <v/>
      </c>
      <c r="O98" s="75" t="str">
        <f aca="false">IF(G51="","",IF(14&gt;IF(G54="",10,G54),"",G51*(1+IF(G52="",0,G52))^ROUNDDOWN((14-1)/IF(G53="",5,G53),0)))</f>
        <v/>
      </c>
      <c r="P98" s="75" t="str">
        <f aca="false">IF(O98="","",IF((IF(G61="",IF($D$33="",0,$D$33),G61))=0,0,MAX(0,4215864.01-(IF(G62&lt;&gt;"",G62,IF($D$35&lt;&gt;"",$D$35,IF((IF(G61="",IF($D$33="",0,$D$33),G61))=0,0,G51/(IF(G61="",IF($D$33="",0,$D$33),G61)))))))*(IF(G61="",IF($D$33="",0,$D$33),G61))))</f>
        <v/>
      </c>
      <c r="Q98" s="75" t="str">
        <f aca="false">IF(O98="","",O98+P98)</f>
        <v/>
      </c>
      <c r="R98" s="75" t="str">
        <f aca="false">IF(H51="","",IF(14&gt;IF(H54="",10,H54),"",H51*(1+IF(H52="",0,H52))^ROUNDDOWN((14-1)/IF(H53="",5,H53),0)))</f>
        <v/>
      </c>
      <c r="S98" s="75" t="str">
        <f aca="false">IF(R98="","",IF((IF(H61="",IF($D$33="",0,$D$33),H61))=0,0,MAX(0,4215864.01-(IF(H62&lt;&gt;"",H62,IF($D$35&lt;&gt;"",$D$35,IF((IF(H61="",IF($D$33="",0,$D$33),H61))=0,0,H51/(IF(H61="",IF($D$33="",0,$D$33),H61)))))))*(IF(H61="",IF($D$33="",0,$D$33),H61))))</f>
        <v/>
      </c>
      <c r="T98" s="75" t="str">
        <f aca="false">IF(R98="","",R98+S98)</f>
        <v/>
      </c>
    </row>
    <row r="99" customFormat="false" ht="15" hidden="false" customHeight="false" outlineLevel="0" collapsed="false">
      <c r="A99" s="74" t="n">
        <v>15</v>
      </c>
      <c r="B99" s="75" t="n">
        <v>4300181</v>
      </c>
      <c r="C99" s="76" t="n">
        <v>163140</v>
      </c>
      <c r="D99" s="76" t="n">
        <v>0</v>
      </c>
      <c r="E99" s="76" t="n">
        <v>163140</v>
      </c>
      <c r="F99" s="75" t="n">
        <f aca="false">IF(D51="","",IF(15&gt;IF(D54="",10,D54),"",D51*(1+IF(D52="",0,D52))^ROUNDDOWN((15-1)/IF(D53="",5,D53),0)))</f>
        <v>169730.856</v>
      </c>
      <c r="G99" s="75" t="n">
        <f aca="false">IF(F99="","",IF((IF(D61="",IF($D$33="",0,$D$33),D61))=0,0,MAX(0,4300181.29-(IF(D62&lt;&gt;"",D62,IF($D$35&lt;&gt;"",$D$35,IF((IF(D61="",IF($D$33="",0,$D$33),D61))=0,0,D51/(IF(D61="",IF($D$33="",0,$D$33),D61)))))))*(IF(D61="",IF($D$33="",0,$D$33),D61))))</f>
        <v>0</v>
      </c>
      <c r="H99" s="75" t="n">
        <f aca="false">IF(F99="","",F99+G99)</f>
        <v>169730.856</v>
      </c>
      <c r="I99" s="75" t="str">
        <f aca="false">IF(E51="","",IF(15&gt;IF(E54="",10,E54),"",E51*(1+IF(E52="",0,E52))^ROUNDDOWN((15-1)/IF(E53="",5,E53),0)))</f>
        <v/>
      </c>
      <c r="J99" s="75" t="str">
        <f aca="false">IF(I99="","",IF((IF(E61="",IF($D$33="",0,$D$33),E61))=0,0,MAX(0,4300181.29-(IF(E62&lt;&gt;"",E62,IF($D$35&lt;&gt;"",$D$35,IF((IF(E61="",IF($D$33="",0,$D$33),E61))=0,0,E51/(IF(E61="",IF($D$33="",0,$D$33),E61)))))))*(IF(E61="",IF($D$33="",0,$D$33),E61))))</f>
        <v/>
      </c>
      <c r="K99" s="75" t="str">
        <f aca="false">IF(I99="","",I99+J99)</f>
        <v/>
      </c>
      <c r="L99" s="75" t="str">
        <f aca="false">IF(F51="","",IF(15&gt;IF(F54="",10,F54),"",F51*(1+IF(F52="",0,F52))^ROUNDDOWN((15-1)/IF(F53="",5,F53),0)))</f>
        <v/>
      </c>
      <c r="M99" s="75" t="str">
        <f aca="false">IF(L99="","",IF((IF(F61="",IF($D$33="",0,$D$33),F61))=0,0,MAX(0,4300181.29-(IF(F62&lt;&gt;"",F62,IF($D$35&lt;&gt;"",$D$35,IF((IF(F61="",IF($D$33="",0,$D$33),F61))=0,0,F51/(IF(F61="",IF($D$33="",0,$D$33),F61)))))))*(IF(F61="",IF($D$33="",0,$D$33),F61))))</f>
        <v/>
      </c>
      <c r="N99" s="75" t="str">
        <f aca="false">IF(L99="","",L99+M99)</f>
        <v/>
      </c>
      <c r="O99" s="75" t="str">
        <f aca="false">IF(G51="","",IF(15&gt;IF(G54="",10,G54),"",G51*(1+IF(G52="",0,G52))^ROUNDDOWN((15-1)/IF(G53="",5,G53),0)))</f>
        <v/>
      </c>
      <c r="P99" s="75" t="str">
        <f aca="false">IF(O99="","",IF((IF(G61="",IF($D$33="",0,$D$33),G61))=0,0,MAX(0,4300181.29-(IF(G62&lt;&gt;"",G62,IF($D$35&lt;&gt;"",$D$35,IF((IF(G61="",IF($D$33="",0,$D$33),G61))=0,0,G51/(IF(G61="",IF($D$33="",0,$D$33),G61)))))))*(IF(G61="",IF($D$33="",0,$D$33),G61))))</f>
        <v/>
      </c>
      <c r="Q99" s="75" t="str">
        <f aca="false">IF(O99="","",O99+P99)</f>
        <v/>
      </c>
      <c r="R99" s="75" t="str">
        <f aca="false">IF(H51="","",IF(15&gt;IF(H54="",10,H54),"",H51*(1+IF(H52="",0,H52))^ROUNDDOWN((15-1)/IF(H53="",5,H53),0)))</f>
        <v/>
      </c>
      <c r="S99" s="75" t="str">
        <f aca="false">IF(R99="","",IF((IF(H61="",IF($D$33="",0,$D$33),H61))=0,0,MAX(0,4300181.29-(IF(H62&lt;&gt;"",H62,IF($D$35&lt;&gt;"",$D$35,IF((IF(H61="",IF($D$33="",0,$D$33),H61))=0,0,H51/(IF(H61="",IF($D$33="",0,$D$33),H61)))))))*(IF(H61="",IF($D$33="",0,$D$33),H61))))</f>
        <v/>
      </c>
      <c r="T99" s="75" t="str">
        <f aca="false">IF(R99="","",R99+S99)</f>
        <v/>
      </c>
    </row>
    <row r="100" customFormat="false" ht="15" hidden="false" customHeight="false" outlineLevel="0" collapsed="false">
      <c r="A100" s="74" t="n">
        <v>16</v>
      </c>
      <c r="B100" s="75" t="n">
        <v>4386185</v>
      </c>
      <c r="C100" s="76" t="n">
        <v>163140</v>
      </c>
      <c r="D100" s="76" t="n">
        <v>0</v>
      </c>
      <c r="E100" s="76" t="n">
        <v>163140</v>
      </c>
      <c r="F100" s="75" t="n">
        <f aca="false">IF(D51="","",IF(16&gt;IF(D54="",10,D54),"",D51*(1+IF(D52="",0,D52))^ROUNDDOWN((16-1)/IF(D53="",5,D53),0)))</f>
        <v>173125.47312</v>
      </c>
      <c r="G100" s="75" t="n">
        <f aca="false">IF(F100="","",IF((IF(D61="",IF($D$33="",0,$D$33),D61))=0,0,MAX(0,4386184.91-(IF(D62&lt;&gt;"",D62,IF($D$35&lt;&gt;"",$D$35,IF((IF(D61="",IF($D$33="",0,$D$33),D61))=0,0,D51/(IF(D61="",IF($D$33="",0,$D$33),D61)))))))*(IF(D61="",IF($D$33="",0,$D$33),D61))))</f>
        <v>0</v>
      </c>
      <c r="H100" s="75" t="n">
        <f aca="false">IF(F100="","",F100+G100)</f>
        <v>173125.47312</v>
      </c>
      <c r="I100" s="75" t="str">
        <f aca="false">IF(E51="","",IF(16&gt;IF(E54="",10,E54),"",E51*(1+IF(E52="",0,E52))^ROUNDDOWN((16-1)/IF(E53="",5,E53),0)))</f>
        <v/>
      </c>
      <c r="J100" s="75" t="str">
        <f aca="false">IF(I100="","",IF((IF(E61="",IF($D$33="",0,$D$33),E61))=0,0,MAX(0,4386184.91-(IF(E62&lt;&gt;"",E62,IF($D$35&lt;&gt;"",$D$35,IF((IF(E61="",IF($D$33="",0,$D$33),E61))=0,0,E51/(IF(E61="",IF($D$33="",0,$D$33),E61)))))))*(IF(E61="",IF($D$33="",0,$D$33),E61))))</f>
        <v/>
      </c>
      <c r="K100" s="75" t="str">
        <f aca="false">IF(I100="","",I100+J100)</f>
        <v/>
      </c>
      <c r="L100" s="75" t="str">
        <f aca="false">IF(F51="","",IF(16&gt;IF(F54="",10,F54),"",F51*(1+IF(F52="",0,F52))^ROUNDDOWN((16-1)/IF(F53="",5,F53),0)))</f>
        <v/>
      </c>
      <c r="M100" s="75" t="str">
        <f aca="false">IF(L100="","",IF((IF(F61="",IF($D$33="",0,$D$33),F61))=0,0,MAX(0,4386184.91-(IF(F62&lt;&gt;"",F62,IF($D$35&lt;&gt;"",$D$35,IF((IF(F61="",IF($D$33="",0,$D$33),F61))=0,0,F51/(IF(F61="",IF($D$33="",0,$D$33),F61)))))))*(IF(F61="",IF($D$33="",0,$D$33),F61))))</f>
        <v/>
      </c>
      <c r="N100" s="75" t="str">
        <f aca="false">IF(L100="","",L100+M100)</f>
        <v/>
      </c>
      <c r="O100" s="75" t="str">
        <f aca="false">IF(G51="","",IF(16&gt;IF(G54="",10,G54),"",G51*(1+IF(G52="",0,G52))^ROUNDDOWN((16-1)/IF(G53="",5,G53),0)))</f>
        <v/>
      </c>
      <c r="P100" s="75" t="str">
        <f aca="false">IF(O100="","",IF((IF(G61="",IF($D$33="",0,$D$33),G61))=0,0,MAX(0,4386184.91-(IF(G62&lt;&gt;"",G62,IF($D$35&lt;&gt;"",$D$35,IF((IF(G61="",IF($D$33="",0,$D$33),G61))=0,0,G51/(IF(G61="",IF($D$33="",0,$D$33),G61)))))))*(IF(G61="",IF($D$33="",0,$D$33),G61))))</f>
        <v/>
      </c>
      <c r="Q100" s="75" t="str">
        <f aca="false">IF(O100="","",O100+P100)</f>
        <v/>
      </c>
      <c r="R100" s="75" t="str">
        <f aca="false">IF(H51="","",IF(16&gt;IF(H54="",10,H54),"",H51*(1+IF(H52="",0,H52))^ROUNDDOWN((16-1)/IF(H53="",5,H53),0)))</f>
        <v/>
      </c>
      <c r="S100" s="75" t="str">
        <f aca="false">IF(R100="","",IF((IF(H61="",IF($D$33="",0,$D$33),H61))=0,0,MAX(0,4386184.91-(IF(H62&lt;&gt;"",H62,IF($D$35&lt;&gt;"",$D$35,IF((IF(H61="",IF($D$33="",0,$D$33),H61))=0,0,H51/(IF(H61="",IF($D$33="",0,$D$33),H61)))))))*(IF(H61="",IF($D$33="",0,$D$33),H61))))</f>
        <v/>
      </c>
      <c r="T100" s="75" t="str">
        <f aca="false">IF(R100="","",R100+S100)</f>
        <v/>
      </c>
    </row>
    <row r="101" customFormat="false" ht="15" hidden="false" customHeight="false" outlineLevel="0" collapsed="false">
      <c r="A101" s="74" t="n">
        <v>17</v>
      </c>
      <c r="B101" s="75" t="n">
        <v>4473909</v>
      </c>
      <c r="C101" s="76" t="n">
        <v>163140</v>
      </c>
      <c r="D101" s="76" t="n">
        <v>0</v>
      </c>
      <c r="E101" s="76" t="n">
        <v>163140</v>
      </c>
      <c r="F101" s="75" t="n">
        <f aca="false">IF(D51="","",IF(17&gt;IF(D54="",10,D54),"",D51*(1+IF(D52="",0,D52))^ROUNDDOWN((17-1)/IF(D53="",5,D53),0)))</f>
        <v>173125.47312</v>
      </c>
      <c r="G101" s="75" t="n">
        <f aca="false">IF(F101="","",IF((IF(D61="",IF($D$33="",0,$D$33),D61))=0,0,MAX(0,4473908.61-(IF(D62&lt;&gt;"",D62,IF($D$35&lt;&gt;"",$D$35,IF((IF(D61="",IF($D$33="",0,$D$33),D61))=0,0,D51/(IF(D61="",IF($D$33="",0,$D$33),D61)))))))*(IF(D61="",IF($D$33="",0,$D$33),D61))))</f>
        <v>0</v>
      </c>
      <c r="H101" s="75" t="n">
        <f aca="false">IF(F101="","",F101+G101)</f>
        <v>173125.47312</v>
      </c>
      <c r="I101" s="75" t="str">
        <f aca="false">IF(E51="","",IF(17&gt;IF(E54="",10,E54),"",E51*(1+IF(E52="",0,E52))^ROUNDDOWN((17-1)/IF(E53="",5,E53),0)))</f>
        <v/>
      </c>
      <c r="J101" s="75" t="str">
        <f aca="false">IF(I101="","",IF((IF(E61="",IF($D$33="",0,$D$33),E61))=0,0,MAX(0,4473908.61-(IF(E62&lt;&gt;"",E62,IF($D$35&lt;&gt;"",$D$35,IF((IF(E61="",IF($D$33="",0,$D$33),E61))=0,0,E51/(IF(E61="",IF($D$33="",0,$D$33),E61)))))))*(IF(E61="",IF($D$33="",0,$D$33),E61))))</f>
        <v/>
      </c>
      <c r="K101" s="75" t="str">
        <f aca="false">IF(I101="","",I101+J101)</f>
        <v/>
      </c>
      <c r="L101" s="75" t="str">
        <f aca="false">IF(F51="","",IF(17&gt;IF(F54="",10,F54),"",F51*(1+IF(F52="",0,F52))^ROUNDDOWN((17-1)/IF(F53="",5,F53),0)))</f>
        <v/>
      </c>
      <c r="M101" s="75" t="str">
        <f aca="false">IF(L101="","",IF((IF(F61="",IF($D$33="",0,$D$33),F61))=0,0,MAX(0,4473908.61-(IF(F62&lt;&gt;"",F62,IF($D$35&lt;&gt;"",$D$35,IF((IF(F61="",IF($D$33="",0,$D$33),F61))=0,0,F51/(IF(F61="",IF($D$33="",0,$D$33),F61)))))))*(IF(F61="",IF($D$33="",0,$D$33),F61))))</f>
        <v/>
      </c>
      <c r="N101" s="75" t="str">
        <f aca="false">IF(L101="","",L101+M101)</f>
        <v/>
      </c>
      <c r="O101" s="75" t="str">
        <f aca="false">IF(G51="","",IF(17&gt;IF(G54="",10,G54),"",G51*(1+IF(G52="",0,G52))^ROUNDDOWN((17-1)/IF(G53="",5,G53),0)))</f>
        <v/>
      </c>
      <c r="P101" s="75" t="str">
        <f aca="false">IF(O101="","",IF((IF(G61="",IF($D$33="",0,$D$33),G61))=0,0,MAX(0,4473908.61-(IF(G62&lt;&gt;"",G62,IF($D$35&lt;&gt;"",$D$35,IF((IF(G61="",IF($D$33="",0,$D$33),G61))=0,0,G51/(IF(G61="",IF($D$33="",0,$D$33),G61)))))))*(IF(G61="",IF($D$33="",0,$D$33),G61))))</f>
        <v/>
      </c>
      <c r="Q101" s="75" t="str">
        <f aca="false">IF(O101="","",O101+P101)</f>
        <v/>
      </c>
      <c r="R101" s="75" t="str">
        <f aca="false">IF(H51="","",IF(17&gt;IF(H54="",10,H54),"",H51*(1+IF(H52="",0,H52))^ROUNDDOWN((17-1)/IF(H53="",5,H53),0)))</f>
        <v/>
      </c>
      <c r="S101" s="75" t="str">
        <f aca="false">IF(R101="","",IF((IF(H61="",IF($D$33="",0,$D$33),H61))=0,0,MAX(0,4473908.61-(IF(H62&lt;&gt;"",H62,IF($D$35&lt;&gt;"",$D$35,IF((IF(H61="",IF($D$33="",0,$D$33),H61))=0,0,H51/(IF(H61="",IF($D$33="",0,$D$33),H61)))))))*(IF(H61="",IF($D$33="",0,$D$33),H61))))</f>
        <v/>
      </c>
      <c r="T101" s="75" t="str">
        <f aca="false">IF(R101="","",R101+S101)</f>
        <v/>
      </c>
    </row>
    <row r="102" customFormat="false" ht="15" hidden="false" customHeight="false" outlineLevel="0" collapsed="false">
      <c r="A102" s="74" t="n">
        <v>18</v>
      </c>
      <c r="B102" s="75" t="n">
        <v>4563387</v>
      </c>
      <c r="C102" s="76" t="n">
        <v>163140</v>
      </c>
      <c r="D102" s="76" t="n">
        <v>0</v>
      </c>
      <c r="E102" s="76" t="n">
        <v>163140</v>
      </c>
      <c r="F102" s="75" t="n">
        <f aca="false">IF(D51="","",IF(18&gt;IF(D54="",10,D54),"",D51*(1+IF(D52="",0,D52))^ROUNDDOWN((18-1)/IF(D53="",5,D53),0)))</f>
        <v>173125.47312</v>
      </c>
      <c r="G102" s="75" t="n">
        <f aca="false">IF(F102="","",IF((IF(D61="",IF($D$33="",0,$D$33),D61))=0,0,MAX(0,4563386.79-(IF(D62&lt;&gt;"",D62,IF($D$35&lt;&gt;"",$D$35,IF((IF(D61="",IF($D$33="",0,$D$33),D61))=0,0,D51/(IF(D61="",IF($D$33="",0,$D$33),D61)))))))*(IF(D61="",IF($D$33="",0,$D$33),D61))))</f>
        <v>0</v>
      </c>
      <c r="H102" s="75" t="n">
        <f aca="false">IF(F102="","",F102+G102)</f>
        <v>173125.47312</v>
      </c>
      <c r="I102" s="75" t="str">
        <f aca="false">IF(E51="","",IF(18&gt;IF(E54="",10,E54),"",E51*(1+IF(E52="",0,E52))^ROUNDDOWN((18-1)/IF(E53="",5,E53),0)))</f>
        <v/>
      </c>
      <c r="J102" s="75" t="str">
        <f aca="false">IF(I102="","",IF((IF(E61="",IF($D$33="",0,$D$33),E61))=0,0,MAX(0,4563386.79-(IF(E62&lt;&gt;"",E62,IF($D$35&lt;&gt;"",$D$35,IF((IF(E61="",IF($D$33="",0,$D$33),E61))=0,0,E51/(IF(E61="",IF($D$33="",0,$D$33),E61)))))))*(IF(E61="",IF($D$33="",0,$D$33),E61))))</f>
        <v/>
      </c>
      <c r="K102" s="75" t="str">
        <f aca="false">IF(I102="","",I102+J102)</f>
        <v/>
      </c>
      <c r="L102" s="75" t="str">
        <f aca="false">IF(F51="","",IF(18&gt;IF(F54="",10,F54),"",F51*(1+IF(F52="",0,F52))^ROUNDDOWN((18-1)/IF(F53="",5,F53),0)))</f>
        <v/>
      </c>
      <c r="M102" s="75" t="str">
        <f aca="false">IF(L102="","",IF((IF(F61="",IF($D$33="",0,$D$33),F61))=0,0,MAX(0,4563386.79-(IF(F62&lt;&gt;"",F62,IF($D$35&lt;&gt;"",$D$35,IF((IF(F61="",IF($D$33="",0,$D$33),F61))=0,0,F51/(IF(F61="",IF($D$33="",0,$D$33),F61)))))))*(IF(F61="",IF($D$33="",0,$D$33),F61))))</f>
        <v/>
      </c>
      <c r="N102" s="75" t="str">
        <f aca="false">IF(L102="","",L102+M102)</f>
        <v/>
      </c>
      <c r="O102" s="75" t="str">
        <f aca="false">IF(G51="","",IF(18&gt;IF(G54="",10,G54),"",G51*(1+IF(G52="",0,G52))^ROUNDDOWN((18-1)/IF(G53="",5,G53),0)))</f>
        <v/>
      </c>
      <c r="P102" s="75" t="str">
        <f aca="false">IF(O102="","",IF((IF(G61="",IF($D$33="",0,$D$33),G61))=0,0,MAX(0,4563386.79-(IF(G62&lt;&gt;"",G62,IF($D$35&lt;&gt;"",$D$35,IF((IF(G61="",IF($D$33="",0,$D$33),G61))=0,0,G51/(IF(G61="",IF($D$33="",0,$D$33),G61)))))))*(IF(G61="",IF($D$33="",0,$D$33),G61))))</f>
        <v/>
      </c>
      <c r="Q102" s="75" t="str">
        <f aca="false">IF(O102="","",O102+P102)</f>
        <v/>
      </c>
      <c r="R102" s="75" t="str">
        <f aca="false">IF(H51="","",IF(18&gt;IF(H54="",10,H54),"",H51*(1+IF(H52="",0,H52))^ROUNDDOWN((18-1)/IF(H53="",5,H53),0)))</f>
        <v/>
      </c>
      <c r="S102" s="75" t="str">
        <f aca="false">IF(R102="","",IF((IF(H61="",IF($D$33="",0,$D$33),H61))=0,0,MAX(0,4563386.79-(IF(H62&lt;&gt;"",H62,IF($D$35&lt;&gt;"",$D$35,IF((IF(H61="",IF($D$33="",0,$D$33),H61))=0,0,H51/(IF(H61="",IF($D$33="",0,$D$33),H61)))))))*(IF(H61="",IF($D$33="",0,$D$33),H61))))</f>
        <v/>
      </c>
      <c r="T102" s="75" t="str">
        <f aca="false">IF(R102="","",R102+S102)</f>
        <v/>
      </c>
    </row>
    <row r="103" customFormat="false" ht="15" hidden="false" customHeight="false" outlineLevel="0" collapsed="false">
      <c r="A103" s="74" t="n">
        <v>19</v>
      </c>
      <c r="B103" s="75" t="n">
        <v>4654655</v>
      </c>
      <c r="C103" s="76" t="n">
        <v>163140</v>
      </c>
      <c r="D103" s="76" t="n">
        <v>0</v>
      </c>
      <c r="E103" s="76" t="n">
        <v>163140</v>
      </c>
      <c r="F103" s="75" t="n">
        <f aca="false">IF(D51="","",IF(19&gt;IF(D54="",10,D54),"",D51*(1+IF(D52="",0,D52))^ROUNDDOWN((19-1)/IF(D53="",5,D53),0)))</f>
        <v>173125.47312</v>
      </c>
      <c r="G103" s="75" t="n">
        <f aca="false">IF(F103="","",IF((IF(D61="",IF($D$33="",0,$D$33),D61))=0,0,MAX(0,4654654.52-(IF(D62&lt;&gt;"",D62,IF($D$35&lt;&gt;"",$D$35,IF((IF(D61="",IF($D$33="",0,$D$33),D61))=0,0,D51/(IF(D61="",IF($D$33="",0,$D$33),D61)))))))*(IF(D61="",IF($D$33="",0,$D$33),D61))))</f>
        <v>0</v>
      </c>
      <c r="H103" s="75" t="n">
        <f aca="false">IF(F103="","",F103+G103)</f>
        <v>173125.47312</v>
      </c>
      <c r="I103" s="75" t="str">
        <f aca="false">IF(E51="","",IF(19&gt;IF(E54="",10,E54),"",E51*(1+IF(E52="",0,E52))^ROUNDDOWN((19-1)/IF(E53="",5,E53),0)))</f>
        <v/>
      </c>
      <c r="J103" s="75" t="str">
        <f aca="false">IF(I103="","",IF((IF(E61="",IF($D$33="",0,$D$33),E61))=0,0,MAX(0,4654654.52-(IF(E62&lt;&gt;"",E62,IF($D$35&lt;&gt;"",$D$35,IF((IF(E61="",IF($D$33="",0,$D$33),E61))=0,0,E51/(IF(E61="",IF($D$33="",0,$D$33),E61)))))))*(IF(E61="",IF($D$33="",0,$D$33),E61))))</f>
        <v/>
      </c>
      <c r="K103" s="75" t="str">
        <f aca="false">IF(I103="","",I103+J103)</f>
        <v/>
      </c>
      <c r="L103" s="75" t="str">
        <f aca="false">IF(F51="","",IF(19&gt;IF(F54="",10,F54),"",F51*(1+IF(F52="",0,F52))^ROUNDDOWN((19-1)/IF(F53="",5,F53),0)))</f>
        <v/>
      </c>
      <c r="M103" s="75" t="str">
        <f aca="false">IF(L103="","",IF((IF(F61="",IF($D$33="",0,$D$33),F61))=0,0,MAX(0,4654654.52-(IF(F62&lt;&gt;"",F62,IF($D$35&lt;&gt;"",$D$35,IF((IF(F61="",IF($D$33="",0,$D$33),F61))=0,0,F51/(IF(F61="",IF($D$33="",0,$D$33),F61)))))))*(IF(F61="",IF($D$33="",0,$D$33),F61))))</f>
        <v/>
      </c>
      <c r="N103" s="75" t="str">
        <f aca="false">IF(L103="","",L103+M103)</f>
        <v/>
      </c>
      <c r="O103" s="75" t="str">
        <f aca="false">IF(G51="","",IF(19&gt;IF(G54="",10,G54),"",G51*(1+IF(G52="",0,G52))^ROUNDDOWN((19-1)/IF(G53="",5,G53),0)))</f>
        <v/>
      </c>
      <c r="P103" s="75" t="str">
        <f aca="false">IF(O103="","",IF((IF(G61="",IF($D$33="",0,$D$33),G61))=0,0,MAX(0,4654654.52-(IF(G62&lt;&gt;"",G62,IF($D$35&lt;&gt;"",$D$35,IF((IF(G61="",IF($D$33="",0,$D$33),G61))=0,0,G51/(IF(G61="",IF($D$33="",0,$D$33),G61)))))))*(IF(G61="",IF($D$33="",0,$D$33),G61))))</f>
        <v/>
      </c>
      <c r="Q103" s="75" t="str">
        <f aca="false">IF(O103="","",O103+P103)</f>
        <v/>
      </c>
      <c r="R103" s="75" t="str">
        <f aca="false">IF(H51="","",IF(19&gt;IF(H54="",10,H54),"",H51*(1+IF(H52="",0,H52))^ROUNDDOWN((19-1)/IF(H53="",5,H53),0)))</f>
        <v/>
      </c>
      <c r="S103" s="75" t="str">
        <f aca="false">IF(R103="","",IF((IF(H61="",IF($D$33="",0,$D$33),H61))=0,0,MAX(0,4654654.52-(IF(H62&lt;&gt;"",H62,IF($D$35&lt;&gt;"",$D$35,IF((IF(H61="",IF($D$33="",0,$D$33),H61))=0,0,H51/(IF(H61="",IF($D$33="",0,$D$33),H61)))))))*(IF(H61="",IF($D$33="",0,$D$33),H61))))</f>
        <v/>
      </c>
      <c r="T103" s="75" t="str">
        <f aca="false">IF(R103="","",R103+S103)</f>
        <v/>
      </c>
    </row>
    <row r="104" customFormat="false" ht="15" hidden="false" customHeight="false" outlineLevel="0" collapsed="false">
      <c r="A104" s="74" t="n">
        <v>20</v>
      </c>
      <c r="B104" s="75" t="n">
        <v>4747748</v>
      </c>
      <c r="C104" s="76" t="n">
        <v>163140</v>
      </c>
      <c r="D104" s="76" t="n">
        <v>0</v>
      </c>
      <c r="E104" s="76" t="n">
        <v>163140</v>
      </c>
      <c r="F104" s="75" t="n">
        <f aca="false">IF(D51="","",IF(20&gt;IF(D54="",10,D54),"",D51*(1+IF(D52="",0,D52))^ROUNDDOWN((20-1)/IF(D53="",5,D53),0)))</f>
        <v>173125.47312</v>
      </c>
      <c r="G104" s="75" t="n">
        <f aca="false">IF(F104="","",IF((IF(D61="",IF($D$33="",0,$D$33),D61))=0,0,MAX(0,4747747.61-(IF(D62&lt;&gt;"",D62,IF($D$35&lt;&gt;"",$D$35,IF((IF(D61="",IF($D$33="",0,$D$33),D61))=0,0,D51/(IF(D61="",IF($D$33="",0,$D$33),D61)))))))*(IF(D61="",IF($D$33="",0,$D$33),D61))))</f>
        <v>0</v>
      </c>
      <c r="H104" s="75" t="n">
        <f aca="false">IF(F104="","",F104+G104)</f>
        <v>173125.47312</v>
      </c>
      <c r="I104" s="75" t="str">
        <f aca="false">IF(E51="","",IF(20&gt;IF(E54="",10,E54),"",E51*(1+IF(E52="",0,E52))^ROUNDDOWN((20-1)/IF(E53="",5,E53),0)))</f>
        <v/>
      </c>
      <c r="J104" s="75" t="str">
        <f aca="false">IF(I104="","",IF((IF(E61="",IF($D$33="",0,$D$33),E61))=0,0,MAX(0,4747747.61-(IF(E62&lt;&gt;"",E62,IF($D$35&lt;&gt;"",$D$35,IF((IF(E61="",IF($D$33="",0,$D$33),E61))=0,0,E51/(IF(E61="",IF($D$33="",0,$D$33),E61)))))))*(IF(E61="",IF($D$33="",0,$D$33),E61))))</f>
        <v/>
      </c>
      <c r="K104" s="75" t="str">
        <f aca="false">IF(I104="","",I104+J104)</f>
        <v/>
      </c>
      <c r="L104" s="75" t="str">
        <f aca="false">IF(F51="","",IF(20&gt;IF(F54="",10,F54),"",F51*(1+IF(F52="",0,F52))^ROUNDDOWN((20-1)/IF(F53="",5,F53),0)))</f>
        <v/>
      </c>
      <c r="M104" s="75" t="str">
        <f aca="false">IF(L104="","",IF((IF(F61="",IF($D$33="",0,$D$33),F61))=0,0,MAX(0,4747747.61-(IF(F62&lt;&gt;"",F62,IF($D$35&lt;&gt;"",$D$35,IF((IF(F61="",IF($D$33="",0,$D$33),F61))=0,0,F51/(IF(F61="",IF($D$33="",0,$D$33),F61)))))))*(IF(F61="",IF($D$33="",0,$D$33),F61))))</f>
        <v/>
      </c>
      <c r="N104" s="75" t="str">
        <f aca="false">IF(L104="","",L104+M104)</f>
        <v/>
      </c>
      <c r="O104" s="75" t="str">
        <f aca="false">IF(G51="","",IF(20&gt;IF(G54="",10,G54),"",G51*(1+IF(G52="",0,G52))^ROUNDDOWN((20-1)/IF(G53="",5,G53),0)))</f>
        <v/>
      </c>
      <c r="P104" s="75" t="str">
        <f aca="false">IF(O104="","",IF((IF(G61="",IF($D$33="",0,$D$33),G61))=0,0,MAX(0,4747747.61-(IF(G62&lt;&gt;"",G62,IF($D$35&lt;&gt;"",$D$35,IF((IF(G61="",IF($D$33="",0,$D$33),G61))=0,0,G51/(IF(G61="",IF($D$33="",0,$D$33),G61)))))))*(IF(G61="",IF($D$33="",0,$D$33),G61))))</f>
        <v/>
      </c>
      <c r="Q104" s="75" t="str">
        <f aca="false">IF(O104="","",O104+P104)</f>
        <v/>
      </c>
      <c r="R104" s="75" t="str">
        <f aca="false">IF(H51="","",IF(20&gt;IF(H54="",10,H54),"",H51*(1+IF(H52="",0,H52))^ROUNDDOWN((20-1)/IF(H53="",5,H53),0)))</f>
        <v/>
      </c>
      <c r="S104" s="75" t="str">
        <f aca="false">IF(R104="","",IF((IF(H61="",IF($D$33="",0,$D$33),H61))=0,0,MAX(0,4747747.61-(IF(H62&lt;&gt;"",H62,IF($D$35&lt;&gt;"",$D$35,IF((IF(H61="",IF($D$33="",0,$D$33),H61))=0,0,H51/(IF(H61="",IF($D$33="",0,$D$33),H61)))))))*(IF(H61="",IF($D$33="",0,$D$33),H61))))</f>
        <v/>
      </c>
      <c r="T104" s="75" t="str">
        <f aca="false">IF(R104="","",R104+S104)</f>
        <v/>
      </c>
    </row>
    <row r="105" customFormat="false" ht="15" hidden="false" customHeight="false" outlineLevel="0" collapsed="false">
      <c r="A105" s="77" t="s">
        <v>394</v>
      </c>
      <c r="C105" s="78" t="n">
        <f aca="false">IF(COUNT(C85:C104)=0,"",SUM(C85:C104))</f>
        <v>3262800</v>
      </c>
      <c r="D105" s="78" t="n">
        <f aca="false">IF(COUNT(D85:D104)=0,"",SUM(D85:D104))</f>
        <v>0</v>
      </c>
      <c r="E105" s="78" t="n">
        <f aca="false">IF(COUNT(E85:E104)=0,"",SUM(E85:E104))</f>
        <v>3262800</v>
      </c>
      <c r="F105" s="78" t="n">
        <f aca="false">IF(COUNT(F85:F104)=0,"",SUM(F85:F104))</f>
        <v>3361995.6456</v>
      </c>
      <c r="G105" s="78" t="n">
        <f aca="false">IF(COUNT(G85:G104)=0,"",SUM(G85:G104))</f>
        <v>0</v>
      </c>
      <c r="H105" s="78" t="n">
        <f aca="false">IF(COUNT(H85:H104)=0,"",SUM(H85:H104))</f>
        <v>3361995.6456</v>
      </c>
      <c r="I105" s="78" t="str">
        <f aca="false">IF(COUNT(I85:I104)=0,"",SUM(I85:I104))</f>
        <v/>
      </c>
      <c r="J105" s="78" t="str">
        <f aca="false">IF(COUNT(J85:J104)=0,"",SUM(J85:J104))</f>
        <v/>
      </c>
      <c r="K105" s="78" t="str">
        <f aca="false">IF(COUNT(K85:K104)=0,"",SUM(K85:K104))</f>
        <v/>
      </c>
      <c r="L105" s="78" t="str">
        <f aca="false">IF(COUNT(L85:L104)=0,"",SUM(L85:L104))</f>
        <v/>
      </c>
      <c r="M105" s="78" t="str">
        <f aca="false">IF(COUNT(M85:M104)=0,"",SUM(M85:M104))</f>
        <v/>
      </c>
      <c r="N105" s="78" t="str">
        <f aca="false">IF(COUNT(N85:N104)=0,"",SUM(N85:N104))</f>
        <v/>
      </c>
      <c r="O105" s="78" t="str">
        <f aca="false">IF(COUNT(O85:O104)=0,"",SUM(O85:O104))</f>
        <v/>
      </c>
      <c r="P105" s="78" t="str">
        <f aca="false">IF(COUNT(P85:P104)=0,"",SUM(P85:P104))</f>
        <v/>
      </c>
      <c r="Q105" s="78" t="str">
        <f aca="false">IF(COUNT(Q85:Q104)=0,"",SUM(Q85:Q104))</f>
        <v/>
      </c>
      <c r="R105" s="78" t="str">
        <f aca="false">IF(COUNT(R85:R104)=0,"",SUM(R85:R104))</f>
        <v/>
      </c>
      <c r="S105" s="78" t="str">
        <f aca="false">IF(COUNT(S85:S104)=0,"",SUM(S85:S104))</f>
        <v/>
      </c>
      <c r="T105" s="78" t="str">
        <f aca="false">IF(COUNT(T85:T104)=0,"",SUM(T85:T104))</f>
        <v/>
      </c>
    </row>
    <row r="106" customFormat="false" ht="15" hidden="false" customHeight="false" outlineLevel="0" collapsed="false">
      <c r="A106" s="69" t="s">
        <v>395</v>
      </c>
      <c r="B106" s="69"/>
      <c r="C106" s="69"/>
      <c r="D106" s="69"/>
      <c r="E106" s="69"/>
      <c r="F106" s="69"/>
      <c r="G106" s="69"/>
      <c r="H106" s="69"/>
      <c r="I106" s="69"/>
      <c r="J106" s="69"/>
      <c r="K106" s="69"/>
      <c r="L106" s="69"/>
      <c r="M106" s="69"/>
      <c r="N106" s="69"/>
      <c r="O106" s="69"/>
      <c r="P106" s="69"/>
      <c r="Q106" s="69"/>
      <c r="R106" s="69"/>
      <c r="S106" s="69"/>
      <c r="T106" s="69"/>
    </row>
  </sheetData>
  <mergeCells count="81">
    <mergeCell ref="A2:J2"/>
    <mergeCell ref="A3:J3"/>
    <mergeCell ref="A4:J4"/>
    <mergeCell ref="A5:J5"/>
    <mergeCell ref="A6:J6"/>
    <mergeCell ref="A7:J7"/>
    <mergeCell ref="A8:J8"/>
    <mergeCell ref="A10:C10"/>
    <mergeCell ref="D10:J10"/>
    <mergeCell ref="A11:C11"/>
    <mergeCell ref="D11:J11"/>
    <mergeCell ref="A12:C12"/>
    <mergeCell ref="D12:J12"/>
    <mergeCell ref="A13:C13"/>
    <mergeCell ref="D13:J13"/>
    <mergeCell ref="A14:C14"/>
    <mergeCell ref="D14:J14"/>
    <mergeCell ref="G17:J17"/>
    <mergeCell ref="G18:J18"/>
    <mergeCell ref="A19:D19"/>
    <mergeCell ref="A20:J20"/>
    <mergeCell ref="A23:C23"/>
    <mergeCell ref="A24:C24"/>
    <mergeCell ref="E24:J24"/>
    <mergeCell ref="A25:C25"/>
    <mergeCell ref="E25:J25"/>
    <mergeCell ref="A26:C26"/>
    <mergeCell ref="A27:C27"/>
    <mergeCell ref="A28:C28"/>
    <mergeCell ref="E28:J28"/>
    <mergeCell ref="A29:J29"/>
    <mergeCell ref="A30:J30"/>
    <mergeCell ref="A33:C33"/>
    <mergeCell ref="E33:J33"/>
    <mergeCell ref="A34:C34"/>
    <mergeCell ref="E34:J34"/>
    <mergeCell ref="A35:C35"/>
    <mergeCell ref="E35:J35"/>
    <mergeCell ref="A36:C36"/>
    <mergeCell ref="E36:J36"/>
    <mergeCell ref="A37:C37"/>
    <mergeCell ref="A38:C38"/>
    <mergeCell ref="A39:C39"/>
    <mergeCell ref="A40:C40"/>
    <mergeCell ref="A46:G46"/>
    <mergeCell ref="A49:C49"/>
    <mergeCell ref="A50:C50"/>
    <mergeCell ref="A51:C51"/>
    <mergeCell ref="A52:C52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2:C62"/>
    <mergeCell ref="A63:C63"/>
    <mergeCell ref="A64:C64"/>
    <mergeCell ref="A65:C65"/>
    <mergeCell ref="A66:C66"/>
    <mergeCell ref="A67:C67"/>
    <mergeCell ref="A68:C68"/>
    <mergeCell ref="A69:C69"/>
    <mergeCell ref="A70:C70"/>
    <mergeCell ref="A71:C71"/>
    <mergeCell ref="A72:C72"/>
    <mergeCell ref="A73:C73"/>
    <mergeCell ref="A74:C74"/>
    <mergeCell ref="A76:J76"/>
    <mergeCell ref="A78:J78"/>
    <mergeCell ref="A82:T82"/>
    <mergeCell ref="C83:E83"/>
    <mergeCell ref="F83:H83"/>
    <mergeCell ref="I83:K83"/>
    <mergeCell ref="L83:N83"/>
    <mergeCell ref="O83:Q83"/>
    <mergeCell ref="R83:T83"/>
    <mergeCell ref="A106:T106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T10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6"/>
    <col collapsed="false" customWidth="true" hidden="false" outlineLevel="0" max="2" min="2" style="0" width="22"/>
    <col collapsed="false" customWidth="true" hidden="false" outlineLevel="0" max="3" min="3" style="0" width="11"/>
    <col collapsed="false" customWidth="true" hidden="false" outlineLevel="0" max="4" min="4" style="0" width="14"/>
    <col collapsed="false" customWidth="true" hidden="false" outlineLevel="0" max="6" min="5" style="0" width="12"/>
    <col collapsed="false" customWidth="true" hidden="false" outlineLevel="0" max="7" min="7" style="0" width="14"/>
    <col collapsed="false" customWidth="true" hidden="false" outlineLevel="0" max="9" min="8" style="0" width="13"/>
    <col collapsed="false" customWidth="true" hidden="false" outlineLevel="0" max="10" min="10" style="0" width="26"/>
  </cols>
  <sheetData>
    <row r="1" customFormat="false" ht="16.15" hidden="false" customHeight="false" outlineLevel="0" collapsed="false">
      <c r="A1" s="3" t="s">
        <v>579</v>
      </c>
    </row>
    <row r="2" customFormat="false" ht="25.5" hidden="false" customHeight="true" outlineLevel="0" collapsed="false">
      <c r="A2" s="12" t="s">
        <v>251</v>
      </c>
      <c r="B2" s="12"/>
      <c r="C2" s="12"/>
      <c r="D2" s="12"/>
      <c r="E2" s="12"/>
      <c r="F2" s="12"/>
      <c r="G2" s="12"/>
      <c r="H2" s="12"/>
      <c r="I2" s="12"/>
      <c r="J2" s="12"/>
    </row>
    <row r="3" customFormat="false" ht="15" hidden="false" customHeight="true" outlineLevel="0" collapsed="false">
      <c r="A3" s="16" t="s">
        <v>580</v>
      </c>
      <c r="B3" s="16"/>
      <c r="C3" s="16"/>
      <c r="D3" s="16"/>
      <c r="E3" s="16"/>
      <c r="F3" s="16"/>
      <c r="G3" s="16"/>
      <c r="H3" s="16"/>
      <c r="I3" s="16"/>
      <c r="J3" s="16"/>
    </row>
    <row r="4" customFormat="false" ht="30" hidden="false" customHeight="true" outlineLevel="0" collapsed="false">
      <c r="A4" s="17" t="s">
        <v>47</v>
      </c>
      <c r="B4" s="17"/>
      <c r="C4" s="17"/>
      <c r="D4" s="17"/>
      <c r="E4" s="17"/>
      <c r="F4" s="17"/>
      <c r="G4" s="17"/>
      <c r="H4" s="17"/>
      <c r="I4" s="17"/>
      <c r="J4" s="17"/>
    </row>
    <row r="5" customFormat="false" ht="15" hidden="false" customHeight="true" outlineLevel="0" collapsed="false">
      <c r="A5" s="79" t="s">
        <v>48</v>
      </c>
      <c r="B5" s="79"/>
      <c r="C5" s="79"/>
      <c r="D5" s="79"/>
      <c r="E5" s="79"/>
      <c r="F5" s="79"/>
      <c r="G5" s="79"/>
      <c r="H5" s="79"/>
      <c r="I5" s="79"/>
      <c r="J5" s="79"/>
    </row>
    <row r="6" customFormat="false" ht="15" hidden="false" customHeight="true" outlineLevel="0" collapsed="false">
      <c r="A6" s="19" t="s">
        <v>49</v>
      </c>
      <c r="B6" s="19"/>
      <c r="C6" s="19"/>
      <c r="D6" s="19"/>
      <c r="E6" s="19"/>
      <c r="F6" s="19"/>
      <c r="G6" s="19"/>
      <c r="H6" s="19"/>
      <c r="I6" s="19"/>
      <c r="J6" s="19"/>
    </row>
    <row r="7" customFormat="false" ht="23.85" hidden="false" customHeight="true" outlineLevel="0" collapsed="false">
      <c r="A7" s="20" t="s">
        <v>581</v>
      </c>
      <c r="B7" s="20"/>
      <c r="C7" s="20"/>
      <c r="D7" s="20"/>
      <c r="E7" s="20"/>
      <c r="F7" s="20"/>
      <c r="G7" s="20"/>
      <c r="H7" s="20"/>
      <c r="I7" s="20"/>
      <c r="J7" s="20"/>
    </row>
    <row r="8" customFormat="false" ht="15" hidden="false" customHeight="true" outlineLevel="0" collapsed="false">
      <c r="A8" s="21" t="s">
        <v>254</v>
      </c>
      <c r="B8" s="21"/>
      <c r="C8" s="21"/>
      <c r="D8" s="21"/>
      <c r="E8" s="21"/>
      <c r="F8" s="21"/>
      <c r="G8" s="21"/>
      <c r="H8" s="21"/>
      <c r="I8" s="21"/>
      <c r="J8" s="21"/>
    </row>
    <row r="10" customFormat="false" ht="15" hidden="false" customHeight="true" outlineLevel="0" collapsed="false">
      <c r="A10" s="22" t="s">
        <v>255</v>
      </c>
      <c r="B10" s="22"/>
      <c r="C10" s="22"/>
      <c r="D10" s="23" t="s">
        <v>582</v>
      </c>
      <c r="E10" s="23"/>
      <c r="F10" s="23"/>
      <c r="G10" s="23"/>
      <c r="H10" s="23"/>
      <c r="I10" s="23"/>
      <c r="J10" s="23"/>
    </row>
    <row r="11" customFormat="false" ht="15" hidden="false" customHeight="true" outlineLevel="0" collapsed="false">
      <c r="A11" s="22" t="s">
        <v>257</v>
      </c>
      <c r="B11" s="22"/>
      <c r="C11" s="22"/>
      <c r="D11" s="23" t="s">
        <v>583</v>
      </c>
      <c r="E11" s="23"/>
      <c r="F11" s="23"/>
      <c r="G11" s="23"/>
      <c r="H11" s="23"/>
      <c r="I11" s="23"/>
      <c r="J11" s="23"/>
    </row>
    <row r="12" customFormat="false" ht="23.85" hidden="false" customHeight="true" outlineLevel="0" collapsed="false">
      <c r="A12" s="22" t="s">
        <v>259</v>
      </c>
      <c r="B12" s="22"/>
      <c r="C12" s="22"/>
      <c r="D12" s="23" t="s">
        <v>584</v>
      </c>
      <c r="E12" s="23"/>
      <c r="F12" s="23"/>
      <c r="G12" s="23"/>
      <c r="H12" s="23"/>
      <c r="I12" s="23"/>
      <c r="J12" s="23"/>
    </row>
    <row r="13" customFormat="false" ht="15" hidden="false" customHeight="true" outlineLevel="0" collapsed="false">
      <c r="A13" s="22" t="s">
        <v>261</v>
      </c>
      <c r="B13" s="22"/>
      <c r="C13" s="22"/>
      <c r="D13" s="24" t="n">
        <v>2487000</v>
      </c>
      <c r="E13" s="24"/>
      <c r="F13" s="24"/>
      <c r="G13" s="24"/>
      <c r="H13" s="24"/>
      <c r="I13" s="24"/>
      <c r="J13" s="24"/>
    </row>
    <row r="14" customFormat="false" ht="23.85" hidden="false" customHeight="true" outlineLevel="0" collapsed="false">
      <c r="A14" s="22" t="s">
        <v>262</v>
      </c>
      <c r="B14" s="22"/>
      <c r="C14" s="22"/>
      <c r="D14" s="22" t="s">
        <v>585</v>
      </c>
      <c r="E14" s="22"/>
      <c r="F14" s="22"/>
      <c r="G14" s="22"/>
      <c r="H14" s="22"/>
      <c r="I14" s="22"/>
      <c r="J14" s="22"/>
    </row>
    <row r="16" customFormat="false" ht="15" hidden="false" customHeight="false" outlineLevel="0" collapsed="false">
      <c r="A16" s="25" t="s">
        <v>264</v>
      </c>
    </row>
    <row r="17" customFormat="false" ht="22.35" hidden="false" customHeight="true" outlineLevel="0" collapsed="false">
      <c r="A17" s="26" t="s">
        <v>265</v>
      </c>
      <c r="B17" s="26" t="s">
        <v>266</v>
      </c>
      <c r="C17" s="26" t="s">
        <v>267</v>
      </c>
      <c r="D17" s="26" t="s">
        <v>268</v>
      </c>
      <c r="E17" s="26" t="s">
        <v>269</v>
      </c>
      <c r="F17" s="26" t="s">
        <v>270</v>
      </c>
      <c r="G17" s="26" t="s">
        <v>271</v>
      </c>
      <c r="H17" s="26"/>
      <c r="I17" s="26"/>
      <c r="J17" s="26"/>
    </row>
    <row r="18" customFormat="false" ht="19.4" hidden="false" customHeight="true" outlineLevel="0" collapsed="false">
      <c r="A18" s="27" t="s">
        <v>586</v>
      </c>
      <c r="B18" s="28" t="s">
        <v>404</v>
      </c>
      <c r="C18" s="28" t="s">
        <v>587</v>
      </c>
      <c r="D18" s="29" t="n">
        <v>11616</v>
      </c>
      <c r="E18" s="30" t="n">
        <f aca="false">IF(D18="","",D18*12)</f>
        <v>139392</v>
      </c>
      <c r="F18" s="31" t="n">
        <v>4.2</v>
      </c>
      <c r="G18" s="32" t="s">
        <v>588</v>
      </c>
      <c r="H18" s="32"/>
      <c r="I18" s="32"/>
      <c r="J18" s="32"/>
    </row>
    <row r="19" customFormat="false" ht="23.85" hidden="false" customHeight="true" outlineLevel="0" collapsed="false">
      <c r="A19" s="27" t="s">
        <v>589</v>
      </c>
      <c r="B19" s="28" t="s">
        <v>590</v>
      </c>
      <c r="C19" s="28" t="s">
        <v>591</v>
      </c>
      <c r="D19" s="33"/>
      <c r="E19" s="30" t="str">
        <f aca="false">IF(D19="","",D19*12)</f>
        <v/>
      </c>
      <c r="F19" s="31" t="n">
        <v>5</v>
      </c>
      <c r="G19" s="32" t="s">
        <v>592</v>
      </c>
      <c r="H19" s="32"/>
      <c r="I19" s="32"/>
      <c r="J19" s="32"/>
    </row>
    <row r="20" customFormat="false" ht="35.05" hidden="false" customHeight="true" outlineLevel="0" collapsed="false">
      <c r="A20" s="27" t="s">
        <v>593</v>
      </c>
      <c r="B20" s="28" t="s">
        <v>444</v>
      </c>
      <c r="C20" s="28" t="s">
        <v>444</v>
      </c>
      <c r="D20" s="33"/>
      <c r="E20" s="30" t="str">
        <f aca="false">IF(D20="","",D20*12)</f>
        <v/>
      </c>
      <c r="F20" s="31" t="n">
        <v>0.8</v>
      </c>
      <c r="G20" s="32" t="s">
        <v>594</v>
      </c>
      <c r="H20" s="32"/>
      <c r="I20" s="32"/>
      <c r="J20" s="32"/>
    </row>
    <row r="21" customFormat="false" ht="15" hidden="false" customHeight="false" outlineLevel="0" collapsed="false">
      <c r="A21" s="34" t="s">
        <v>284</v>
      </c>
      <c r="B21" s="34"/>
      <c r="C21" s="34"/>
      <c r="D21" s="34"/>
      <c r="E21" s="35" t="n">
        <f aca="false">IF(SUMPRODUCT(E18:E20,F18:F20)=0,"",SUMPRODUCT(E18:E20,F18:F20))</f>
        <v>585446.4</v>
      </c>
      <c r="F21" s="36"/>
      <c r="G21" s="36"/>
      <c r="H21" s="36"/>
      <c r="I21" s="36"/>
      <c r="J21" s="36"/>
    </row>
    <row r="22" customFormat="false" ht="15" hidden="false" customHeight="false" outlineLevel="0" collapsed="false">
      <c r="A22" s="37" t="s">
        <v>285</v>
      </c>
      <c r="B22" s="37"/>
      <c r="C22" s="37"/>
      <c r="D22" s="37"/>
      <c r="E22" s="37"/>
      <c r="F22" s="37"/>
      <c r="G22" s="37"/>
      <c r="H22" s="37"/>
      <c r="I22" s="37"/>
      <c r="J22" s="37"/>
    </row>
    <row r="24" customFormat="false" ht="15" hidden="false" customHeight="false" outlineLevel="0" collapsed="false">
      <c r="A24" s="25" t="s">
        <v>286</v>
      </c>
    </row>
    <row r="25" customFormat="false" ht="15" hidden="false" customHeight="true" outlineLevel="0" collapsed="false">
      <c r="A25" s="22" t="s">
        <v>287</v>
      </c>
      <c r="B25" s="22"/>
      <c r="C25" s="22"/>
      <c r="D25" s="35" t="n">
        <v>139392</v>
      </c>
      <c r="E25" s="36"/>
      <c r="F25" s="36"/>
      <c r="G25" s="36"/>
      <c r="H25" s="36"/>
      <c r="I25" s="36"/>
      <c r="J25" s="36"/>
    </row>
    <row r="26" customFormat="false" ht="15" hidden="false" customHeight="true" outlineLevel="0" collapsed="false">
      <c r="A26" s="22" t="s">
        <v>288</v>
      </c>
      <c r="B26" s="22"/>
      <c r="C26" s="22"/>
      <c r="D26" s="38" t="n">
        <v>0.0560482509047045</v>
      </c>
      <c r="E26" s="39" t="s">
        <v>289</v>
      </c>
      <c r="F26" s="39"/>
      <c r="G26" s="39"/>
      <c r="H26" s="39"/>
      <c r="I26" s="39"/>
      <c r="J26" s="39"/>
    </row>
    <row r="27" customFormat="false" ht="23.85" hidden="false" customHeight="true" outlineLevel="0" collapsed="false">
      <c r="A27" s="22" t="s">
        <v>595</v>
      </c>
      <c r="B27" s="22"/>
      <c r="C27" s="22"/>
      <c r="D27" s="35" t="n">
        <v>39640</v>
      </c>
      <c r="E27" s="39" t="s">
        <v>291</v>
      </c>
      <c r="F27" s="39"/>
      <c r="G27" s="39"/>
      <c r="H27" s="39"/>
      <c r="I27" s="39"/>
      <c r="J27" s="39"/>
    </row>
    <row r="28" customFormat="false" ht="15" hidden="false" customHeight="true" outlineLevel="0" collapsed="false">
      <c r="A28" s="22" t="s">
        <v>292</v>
      </c>
      <c r="B28" s="22"/>
      <c r="C28" s="22"/>
      <c r="D28" s="35" t="n">
        <v>0</v>
      </c>
      <c r="E28" s="36"/>
      <c r="F28" s="36"/>
      <c r="G28" s="36"/>
      <c r="H28" s="36"/>
      <c r="I28" s="36"/>
      <c r="J28" s="36"/>
    </row>
    <row r="29" customFormat="false" ht="15" hidden="false" customHeight="true" outlineLevel="0" collapsed="false">
      <c r="A29" s="22" t="s">
        <v>293</v>
      </c>
      <c r="B29" s="22"/>
      <c r="C29" s="22"/>
      <c r="D29" s="35" t="n">
        <v>179032</v>
      </c>
      <c r="E29" s="36"/>
      <c r="F29" s="36"/>
      <c r="G29" s="36"/>
      <c r="H29" s="36"/>
      <c r="I29" s="36"/>
      <c r="J29" s="36"/>
    </row>
    <row r="30" customFormat="false" ht="15" hidden="false" customHeight="true" outlineLevel="0" collapsed="false">
      <c r="A30" s="22" t="s">
        <v>294</v>
      </c>
      <c r="B30" s="22"/>
      <c r="C30" s="22"/>
      <c r="D30" s="38" t="n">
        <v>0.0719871330920788</v>
      </c>
      <c r="E30" s="39" t="s">
        <v>295</v>
      </c>
      <c r="F30" s="39"/>
      <c r="G30" s="39"/>
      <c r="H30" s="39"/>
      <c r="I30" s="39"/>
      <c r="J30" s="39"/>
    </row>
    <row r="31" customFormat="false" ht="27.75" hidden="false" customHeight="true" outlineLevel="0" collapsed="false">
      <c r="A31" s="40" t="s">
        <v>596</v>
      </c>
      <c r="B31" s="40"/>
      <c r="C31" s="40"/>
      <c r="D31" s="40"/>
      <c r="E31" s="40"/>
      <c r="F31" s="40"/>
      <c r="G31" s="40"/>
      <c r="H31" s="40"/>
      <c r="I31" s="40"/>
      <c r="J31" s="40"/>
    </row>
    <row r="32" customFormat="false" ht="15" hidden="false" customHeight="false" outlineLevel="0" collapsed="false">
      <c r="A32" s="41" t="s">
        <v>597</v>
      </c>
      <c r="B32" s="41"/>
      <c r="C32" s="41"/>
      <c r="D32" s="41"/>
      <c r="E32" s="41"/>
      <c r="F32" s="41"/>
      <c r="G32" s="41"/>
      <c r="H32" s="41"/>
      <c r="I32" s="41"/>
      <c r="J32" s="41"/>
    </row>
    <row r="34" customFormat="false" ht="15" hidden="false" customHeight="false" outlineLevel="0" collapsed="false">
      <c r="A34" s="25" t="s">
        <v>298</v>
      </c>
    </row>
    <row r="35" customFormat="false" ht="15" hidden="false" customHeight="true" outlineLevel="0" collapsed="false">
      <c r="A35" s="22" t="s">
        <v>299</v>
      </c>
      <c r="B35" s="22"/>
      <c r="C35" s="22"/>
      <c r="D35" s="42" t="n">
        <v>0</v>
      </c>
      <c r="E35" s="43" t="s">
        <v>300</v>
      </c>
      <c r="F35" s="43"/>
      <c r="G35" s="43"/>
      <c r="H35" s="43"/>
      <c r="I35" s="43"/>
      <c r="J35" s="43"/>
    </row>
    <row r="36" customFormat="false" ht="15" hidden="false" customHeight="true" outlineLevel="0" collapsed="false">
      <c r="A36" s="22" t="s">
        <v>301</v>
      </c>
      <c r="B36" s="22"/>
      <c r="C36" s="22"/>
      <c r="D36" s="34" t="s">
        <v>302</v>
      </c>
      <c r="E36" s="43" t="s">
        <v>303</v>
      </c>
      <c r="F36" s="43"/>
      <c r="G36" s="43"/>
      <c r="H36" s="43"/>
      <c r="I36" s="43"/>
      <c r="J36" s="43"/>
    </row>
    <row r="37" customFormat="false" ht="15" hidden="false" customHeight="true" outlineLevel="0" collapsed="false">
      <c r="A37" s="22" t="s">
        <v>304</v>
      </c>
      <c r="B37" s="22"/>
      <c r="C37" s="22"/>
      <c r="D37" s="44"/>
      <c r="E37" s="43" t="s">
        <v>305</v>
      </c>
      <c r="F37" s="43"/>
      <c r="G37" s="43"/>
      <c r="H37" s="43"/>
      <c r="I37" s="43"/>
      <c r="J37" s="43"/>
    </row>
    <row r="38" customFormat="false" ht="23.85" hidden="false" customHeight="true" outlineLevel="0" collapsed="false">
      <c r="A38" s="22" t="s">
        <v>306</v>
      </c>
      <c r="B38" s="22"/>
      <c r="C38" s="22"/>
      <c r="D38" s="45" t="str">
        <f aca="false">IF(OR($D$35="",E18=""),"",IF($D$35=0,"— (no % rent)",E18/$D$35))</f>
        <v>— (no % rent)</v>
      </c>
      <c r="E38" s="43" t="s">
        <v>307</v>
      </c>
      <c r="F38" s="43"/>
      <c r="G38" s="43"/>
      <c r="H38" s="43"/>
      <c r="I38" s="43"/>
      <c r="J38" s="43"/>
    </row>
    <row r="39" customFormat="false" ht="23.85" hidden="false" customHeight="true" outlineLevel="0" collapsed="false">
      <c r="A39" s="22" t="s">
        <v>308</v>
      </c>
      <c r="B39" s="22"/>
      <c r="C39" s="22"/>
      <c r="D39" s="45" t="str">
        <f aca="false">IF($D$35="","",IF($D$35=0,"— (no % rent)",IF($D$37&lt;&gt;"",$D$37,IF(E18="","",E18/$D$35))))</f>
        <v>— (no % rent)</v>
      </c>
      <c r="E39" s="36"/>
      <c r="F39" s="36"/>
      <c r="G39" s="36"/>
      <c r="H39" s="36"/>
      <c r="I39" s="36"/>
      <c r="J39" s="36"/>
    </row>
    <row r="40" customFormat="false" ht="15" hidden="false" customHeight="true" outlineLevel="0" collapsed="false">
      <c r="A40" s="22" t="s">
        <v>309</v>
      </c>
      <c r="B40" s="22"/>
      <c r="C40" s="22"/>
      <c r="D40" s="45" t="n">
        <f aca="false">IF(OR($D$35="",D13=""),"",IF($D$35=0,0,IF($D$39="","",MAX(0,D13-$D$39)*$D$35)))</f>
        <v>0</v>
      </c>
      <c r="E40" s="36"/>
      <c r="F40" s="36"/>
      <c r="G40" s="36"/>
      <c r="H40" s="36"/>
      <c r="I40" s="36"/>
      <c r="J40" s="36"/>
    </row>
    <row r="41" customFormat="false" ht="15" hidden="false" customHeight="true" outlineLevel="0" collapsed="false">
      <c r="A41" s="22" t="s">
        <v>310</v>
      </c>
      <c r="B41" s="22"/>
      <c r="C41" s="22"/>
      <c r="D41" s="45" t="n">
        <f aca="false">IF(OR(D40="",E18=""),"",E18+D40)</f>
        <v>139392</v>
      </c>
      <c r="E41" s="36"/>
      <c r="F41" s="36"/>
      <c r="G41" s="36"/>
      <c r="H41" s="36"/>
      <c r="I41" s="36"/>
      <c r="J41" s="36"/>
    </row>
    <row r="42" customFormat="false" ht="15" hidden="false" customHeight="true" outlineLevel="0" collapsed="false">
      <c r="A42" s="22" t="s">
        <v>311</v>
      </c>
      <c r="B42" s="22"/>
      <c r="C42" s="22"/>
      <c r="D42" s="46" t="n">
        <f aca="false">IF(OR(D41="",D13=""),"",D41/D13)</f>
        <v>0.0560482509047045</v>
      </c>
      <c r="E42" s="36"/>
      <c r="F42" s="36"/>
      <c r="G42" s="36"/>
      <c r="H42" s="36"/>
      <c r="I42" s="36"/>
      <c r="J42" s="36"/>
    </row>
    <row r="44" customFormat="false" ht="15" hidden="false" customHeight="false" outlineLevel="0" collapsed="false">
      <c r="A44" s="25" t="s">
        <v>312</v>
      </c>
    </row>
    <row r="45" customFormat="false" ht="22.35" hidden="false" customHeight="false" outlineLevel="0" collapsed="false">
      <c r="A45" s="26" t="s">
        <v>313</v>
      </c>
      <c r="B45" s="26" t="s">
        <v>314</v>
      </c>
      <c r="C45" s="26" t="s">
        <v>315</v>
      </c>
      <c r="D45" s="26" t="s">
        <v>316</v>
      </c>
      <c r="E45" s="26" t="s">
        <v>317</v>
      </c>
      <c r="F45" s="26" t="s">
        <v>318</v>
      </c>
      <c r="G45" s="26" t="s">
        <v>319</v>
      </c>
      <c r="H45" s="26" t="s">
        <v>269</v>
      </c>
      <c r="I45" s="26" t="s">
        <v>320</v>
      </c>
      <c r="J45" s="26" t="s">
        <v>321</v>
      </c>
    </row>
    <row r="46" customFormat="false" ht="22.35" hidden="false" customHeight="false" outlineLevel="0" collapsed="false">
      <c r="A46" s="48"/>
      <c r="B46" s="47" t="s">
        <v>422</v>
      </c>
      <c r="C46" s="48"/>
      <c r="D46" s="48"/>
      <c r="E46" s="48"/>
      <c r="F46" s="48"/>
      <c r="G46" s="48"/>
      <c r="H46" s="48"/>
      <c r="I46" s="48"/>
      <c r="J46" s="47" t="s">
        <v>423</v>
      </c>
    </row>
    <row r="47" customFormat="false" ht="15" hidden="false" customHeight="false" outlineLevel="0" collapsed="false">
      <c r="A47" s="52" t="s">
        <v>344</v>
      </c>
      <c r="B47" s="52"/>
      <c r="C47" s="52"/>
      <c r="D47" s="52"/>
      <c r="E47" s="52"/>
      <c r="F47" s="52"/>
      <c r="G47" s="52"/>
      <c r="H47" s="53" t="str">
        <f aca="false">IF(COUNT(H46:H46)=0,"",AVERAGE(H46:H46))</f>
        <v/>
      </c>
      <c r="I47" s="52" t="str">
        <f aca="false">IF(COUNT(H46:H46)=0,"",TEXT(MIN(H46:H46),"$#,##0")&amp;" – "&amp;TEXT(MAX(H46:H46),"$#,##0"))</f>
        <v/>
      </c>
      <c r="J47" s="36"/>
    </row>
    <row r="49" customFormat="false" ht="15" hidden="false" customHeight="false" outlineLevel="0" collapsed="false">
      <c r="A49" s="25" t="s">
        <v>345</v>
      </c>
    </row>
    <row r="50" customFormat="false" ht="53.7" hidden="false" customHeight="true" outlineLevel="0" collapsed="false">
      <c r="A50" s="26" t="s">
        <v>346</v>
      </c>
      <c r="B50" s="26"/>
      <c r="C50" s="26"/>
      <c r="D50" s="26" t="s">
        <v>347</v>
      </c>
      <c r="E50" s="26" t="s">
        <v>348</v>
      </c>
      <c r="F50" s="26" t="s">
        <v>349</v>
      </c>
      <c r="G50" s="26" t="s">
        <v>350</v>
      </c>
      <c r="H50" s="54" t="s">
        <v>351</v>
      </c>
    </row>
    <row r="51" customFormat="false" ht="68.65" hidden="false" customHeight="true" outlineLevel="0" collapsed="false">
      <c r="A51" s="22" t="s">
        <v>352</v>
      </c>
      <c r="B51" s="22"/>
      <c r="C51" s="22"/>
      <c r="D51" s="55" t="s">
        <v>353</v>
      </c>
      <c r="E51" s="56"/>
      <c r="F51" s="56"/>
      <c r="G51" s="56"/>
      <c r="H51" s="56"/>
    </row>
    <row r="52" customFormat="false" ht="15" hidden="false" customHeight="true" outlineLevel="0" collapsed="false">
      <c r="A52" s="22" t="s">
        <v>354</v>
      </c>
      <c r="B52" s="22"/>
      <c r="C52" s="22"/>
      <c r="D52" s="57" t="n">
        <v>139392</v>
      </c>
      <c r="E52" s="57"/>
      <c r="F52" s="57"/>
      <c r="G52" s="57"/>
      <c r="H52" s="57"/>
    </row>
    <row r="53" customFormat="false" ht="15" hidden="false" customHeight="true" outlineLevel="0" collapsed="false">
      <c r="A53" s="22" t="s">
        <v>355</v>
      </c>
      <c r="B53" s="22"/>
      <c r="C53" s="22"/>
      <c r="D53" s="58" t="n">
        <v>0.02</v>
      </c>
      <c r="E53" s="58"/>
      <c r="F53" s="58"/>
      <c r="G53" s="58"/>
      <c r="H53" s="58"/>
    </row>
    <row r="54" customFormat="false" ht="15" hidden="false" customHeight="true" outlineLevel="0" collapsed="false">
      <c r="A54" s="22" t="s">
        <v>356</v>
      </c>
      <c r="B54" s="22"/>
      <c r="C54" s="22"/>
      <c r="D54" s="56" t="n">
        <v>5</v>
      </c>
      <c r="E54" s="56"/>
      <c r="F54" s="56"/>
      <c r="G54" s="56"/>
      <c r="H54" s="56"/>
    </row>
    <row r="55" customFormat="false" ht="15" hidden="false" customHeight="true" outlineLevel="0" collapsed="false">
      <c r="A55" s="22" t="s">
        <v>357</v>
      </c>
      <c r="B55" s="22"/>
      <c r="C55" s="22"/>
      <c r="D55" s="59" t="n">
        <v>20</v>
      </c>
      <c r="E55" s="59"/>
      <c r="F55" s="59"/>
      <c r="G55" s="59"/>
      <c r="H55" s="59"/>
    </row>
    <row r="56" customFormat="false" ht="15" hidden="false" customHeight="true" outlineLevel="0" collapsed="false">
      <c r="A56" s="22" t="s">
        <v>358</v>
      </c>
      <c r="B56" s="22"/>
      <c r="C56" s="22"/>
      <c r="D56" s="60" t="n">
        <f aca="false">IF(OR(D52="",E18=""),"",D52-E18)</f>
        <v>0</v>
      </c>
      <c r="E56" s="60" t="str">
        <f aca="false">IF(OR(E52="",E18=""),"",E52-E18)</f>
        <v/>
      </c>
      <c r="F56" s="60" t="str">
        <f aca="false">IF(OR(F52="",E18=""),"",F52-E18)</f>
        <v/>
      </c>
      <c r="G56" s="60" t="str">
        <f aca="false">IF(OR(G52="",E18=""),"",G52-E18)</f>
        <v/>
      </c>
      <c r="H56" s="60" t="str">
        <f aca="false">IF(OR(H52="",E18=""),"",H52-E18)</f>
        <v/>
      </c>
    </row>
    <row r="57" customFormat="false" ht="15" hidden="false" customHeight="true" outlineLevel="0" collapsed="false">
      <c r="A57" s="22" t="s">
        <v>359</v>
      </c>
      <c r="B57" s="22"/>
      <c r="C57" s="22"/>
      <c r="D57" s="61" t="n">
        <f aca="false">IF(OR(D52="",E18=""),"",(D52-E18)/E18)</f>
        <v>0</v>
      </c>
      <c r="E57" s="61" t="str">
        <f aca="false">IF(OR(E52="",E18=""),"",(E52-E18)/E18)</f>
        <v/>
      </c>
      <c r="F57" s="61" t="str">
        <f aca="false">IF(OR(F52="",E18=""),"",(F52-E18)/E18)</f>
        <v/>
      </c>
      <c r="G57" s="61" t="str">
        <f aca="false">IF(OR(G52="",E18=""),"",(G52-E18)/E18)</f>
        <v/>
      </c>
      <c r="H57" s="61" t="str">
        <f aca="false">IF(OR(H52="",E18=""),"",(H52-E18)/E18)</f>
        <v/>
      </c>
    </row>
    <row r="58" customFormat="false" ht="15" hidden="false" customHeight="true" outlineLevel="0" collapsed="false">
      <c r="A58" s="22" t="s">
        <v>360</v>
      </c>
      <c r="B58" s="22"/>
      <c r="C58" s="22"/>
      <c r="D58" s="62" t="n">
        <f aca="false">IF(OR(D52="",D13=""),"",D52/D13)</f>
        <v>0.0560482509047045</v>
      </c>
      <c r="E58" s="62" t="str">
        <f aca="false">IF(OR(E52="",D13=""),"",E52/D13)</f>
        <v/>
      </c>
      <c r="F58" s="62" t="str">
        <f aca="false">IF(OR(F52="",D13=""),"",F52/D13)</f>
        <v/>
      </c>
      <c r="G58" s="62" t="str">
        <f aca="false">IF(OR(G52="",D13=""),"",G52/D13)</f>
        <v/>
      </c>
      <c r="H58" s="62" t="str">
        <f aca="false">IF(OR(H52="",D13=""),"",H52/D13)</f>
        <v/>
      </c>
    </row>
    <row r="59" customFormat="false" ht="15" hidden="false" customHeight="true" outlineLevel="0" collapsed="false">
      <c r="A59" s="22" t="s">
        <v>361</v>
      </c>
      <c r="B59" s="22"/>
      <c r="C59" s="22"/>
      <c r="D59" s="61" t="str">
        <f aca="false">IF(OR(D52="",H47=""),"",(D52-H47)/H47)</f>
        <v/>
      </c>
      <c r="E59" s="61" t="str">
        <f aca="false">IF(OR(E52="",H47=""),"",(E52-H47)/H47)</f>
        <v/>
      </c>
      <c r="F59" s="61" t="str">
        <f aca="false">IF(OR(F52="",H47=""),"",(F52-H47)/H47)</f>
        <v/>
      </c>
      <c r="G59" s="61" t="str">
        <f aca="false">IF(OR(G52="",H47=""),"",(G52-H47)/H47)</f>
        <v/>
      </c>
      <c r="H59" s="61" t="str">
        <f aca="false">IF(OR(H52="",H47=""),"",(H52-H47)/H47)</f>
        <v/>
      </c>
    </row>
    <row r="60" customFormat="false" ht="15" hidden="false" customHeight="true" outlineLevel="0" collapsed="false">
      <c r="A60" s="22" t="s">
        <v>362</v>
      </c>
      <c r="B60" s="22"/>
      <c r="C60" s="22"/>
      <c r="D60" s="63" t="n">
        <f aca="true">IF(D52="","",SUMPRODUCT(D52*(1+IF(D53="",0,D53))^ROUNDDOWN((ROW(INDIRECT("1:10"))-1)/IF(D54="",5,D54),0)))</f>
        <v>1407859.2</v>
      </c>
      <c r="E60" s="63" t="str">
        <f aca="true">IF(E52="","",SUMPRODUCT(E52*(1+IF(E53="",0,E53))^ROUNDDOWN((ROW(INDIRECT("1:10"))-1)/IF(E54="",5,E54),0)))</f>
        <v/>
      </c>
      <c r="F60" s="63" t="str">
        <f aca="true">IF(F52="","",SUMPRODUCT(F52*(1+IF(F53="",0,F53))^ROUNDDOWN((ROW(INDIRECT("1:10"))-1)/IF(F54="",5,F54),0)))</f>
        <v/>
      </c>
      <c r="G60" s="63" t="str">
        <f aca="true">IF(G52="","",SUMPRODUCT(G52*(1+IF(G53="",0,G53))^ROUNDDOWN((ROW(INDIRECT("1:10"))-1)/IF(G54="",5,G54),0)))</f>
        <v/>
      </c>
      <c r="H60" s="63" t="str">
        <f aca="true">IF(H52="","",SUMPRODUCT(H52*(1+IF(H53="",0,H53))^ROUNDDOWN((ROW(INDIRECT("1:10"))-1)/IF(H54="",5,H54),0)))</f>
        <v/>
      </c>
    </row>
    <row r="61" customFormat="false" ht="15" hidden="false" customHeight="true" outlineLevel="0" collapsed="false">
      <c r="A61" s="22" t="s">
        <v>363</v>
      </c>
      <c r="B61" s="22"/>
      <c r="C61" s="22"/>
      <c r="D61" s="60" t="n">
        <f aca="false">IF(OR(D60="",E21=""),"",D60-E21)</f>
        <v>822412.8</v>
      </c>
      <c r="E61" s="60" t="str">
        <f aca="false">IF(OR(E60="",E21=""),"",E60-E21)</f>
        <v/>
      </c>
      <c r="F61" s="60" t="str">
        <f aca="false">IF(OR(F60="",E21=""),"",F60-E21)</f>
        <v/>
      </c>
      <c r="G61" s="60" t="str">
        <f aca="false">IF(OR(G60="",E21=""),"",G60-E21)</f>
        <v/>
      </c>
      <c r="H61" s="60" t="str">
        <f aca="false">IF(OR(H60="",E21=""),"",H60-E21)</f>
        <v/>
      </c>
    </row>
    <row r="62" customFormat="false" ht="23.85" hidden="false" customHeight="true" outlineLevel="0" collapsed="false">
      <c r="A62" s="22" t="s">
        <v>364</v>
      </c>
      <c r="B62" s="22"/>
      <c r="C62" s="22"/>
      <c r="D62" s="58"/>
      <c r="E62" s="58"/>
      <c r="F62" s="58"/>
      <c r="G62" s="58"/>
      <c r="H62" s="58"/>
    </row>
    <row r="63" customFormat="false" ht="23.85" hidden="false" customHeight="true" outlineLevel="0" collapsed="false">
      <c r="A63" s="22" t="s">
        <v>365</v>
      </c>
      <c r="B63" s="22"/>
      <c r="C63" s="22"/>
      <c r="D63" s="57"/>
      <c r="E63" s="57"/>
      <c r="F63" s="57"/>
      <c r="G63" s="57"/>
      <c r="H63" s="57"/>
    </row>
    <row r="64" customFormat="false" ht="15" hidden="false" customHeight="true" outlineLevel="0" collapsed="false">
      <c r="A64" s="22" t="s">
        <v>366</v>
      </c>
      <c r="B64" s="22"/>
      <c r="C64" s="22"/>
      <c r="D64" s="63" t="str">
        <f aca="false">IF(OR(D52="",AND(D62="",$D$35="")),"",IF(IF(D62="",IF($D$35="",0,$D$35),D62)=0,"— (% rent removed)",IF(D63&lt;&gt;"",D63,IF($D$37&lt;&gt;"",$D$37,D52/IF(D62="",IF($D$35="",0,$D$35),D62)))))</f>
        <v>— (% rent removed)</v>
      </c>
      <c r="E64" s="63" t="str">
        <f aca="false">IF(OR(E52="",AND(E62="",$D$35="")),"",IF(IF(E62="",IF($D$35="",0,$D$35),E62)=0,"— (% rent removed)",IF(E63&lt;&gt;"",E63,IF($D$37&lt;&gt;"",$D$37,E52/IF(E62="",IF($D$35="",0,$D$35),E62)))))</f>
        <v/>
      </c>
      <c r="F64" s="63" t="str">
        <f aca="false">IF(OR(F52="",AND(F62="",$D$35="")),"",IF(IF(F62="",IF($D$35="",0,$D$35),F62)=0,"— (% rent removed)",IF(F63&lt;&gt;"",F63,IF($D$37&lt;&gt;"",$D$37,F52/IF(F62="",IF($D$35="",0,$D$35),F62)))))</f>
        <v/>
      </c>
      <c r="G64" s="63" t="str">
        <f aca="false">IF(OR(G52="",AND(G62="",$D$35="")),"",IF(IF(G62="",IF($D$35="",0,$D$35),G62)=0,"— (% rent removed)",IF(G63&lt;&gt;"",G63,IF($D$37&lt;&gt;"",$D$37,G52/IF(G62="",IF($D$35="",0,$D$35),G62)))))</f>
        <v/>
      </c>
      <c r="H64" s="63" t="str">
        <f aca="false">IF(OR(H52="",AND(H62="",$D$35="")),"",IF(IF(H62="",IF($D$35="",0,$D$35),H62)=0,"— (% rent removed)",IF(H63&lt;&gt;"",H63,IF($D$37&lt;&gt;"",$D$37,H52/IF(H62="",IF($D$35="",0,$D$35),H62)))))</f>
        <v/>
      </c>
    </row>
    <row r="65" customFormat="false" ht="15" hidden="false" customHeight="true" outlineLevel="0" collapsed="false">
      <c r="A65" s="22" t="s">
        <v>367</v>
      </c>
      <c r="B65" s="22"/>
      <c r="C65" s="22"/>
      <c r="D65" s="63" t="n">
        <f aca="false">IF(OR(D52="",AND(D62="",$D$35=""),D13=""),"",IF(IF(D62="",IF($D$35="",0,$D$35),D62)=0,0,MAX(0,D13-D64)*IF(D62="",IF($D$35="",0,$D$35),D62)))</f>
        <v>0</v>
      </c>
      <c r="E65" s="63" t="str">
        <f aca="false">IF(OR(E52="",AND(E62="",$D$35=""),D13=""),"",IF(IF(E62="",IF($D$35="",0,$D$35),E62)=0,0,MAX(0,D13-E64)*IF(E62="",IF($D$35="",0,$D$35),E62)))</f>
        <v/>
      </c>
      <c r="F65" s="63" t="str">
        <f aca="false">IF(OR(F52="",AND(F62="",$D$35=""),D13=""),"",IF(IF(F62="",IF($D$35="",0,$D$35),F62)=0,0,MAX(0,D13-F64)*IF(F62="",IF($D$35="",0,$D$35),F62)))</f>
        <v/>
      </c>
      <c r="G65" s="63" t="str">
        <f aca="false">IF(OR(G52="",AND(G62="",$D$35=""),D13=""),"",IF(IF(G62="",IF($D$35="",0,$D$35),G62)=0,0,MAX(0,D13-G64)*IF(G62="",IF($D$35="",0,$D$35),G62)))</f>
        <v/>
      </c>
      <c r="H65" s="63" t="str">
        <f aca="false">IF(OR(H52="",AND(H62="",$D$35=""),D13=""),"",IF(IF(H62="",IF($D$35="",0,$D$35),H62)=0,0,MAX(0,D13-H64)*IF(H62="",IF($D$35="",0,$D$35),H62)))</f>
        <v/>
      </c>
    </row>
    <row r="66" customFormat="false" ht="15" hidden="false" customHeight="true" outlineLevel="0" collapsed="false">
      <c r="A66" s="22" t="s">
        <v>368</v>
      </c>
      <c r="B66" s="22"/>
      <c r="C66" s="22"/>
      <c r="D66" s="63" t="n">
        <f aca="false">IF(OR(D52="",D65=""),"",D52+D65)</f>
        <v>139392</v>
      </c>
      <c r="E66" s="63" t="str">
        <f aca="false">IF(OR(E52="",E65=""),"",E52+E65)</f>
        <v/>
      </c>
      <c r="F66" s="63" t="str">
        <f aca="false">IF(OR(F52="",F65=""),"",F52+F65)</f>
        <v/>
      </c>
      <c r="G66" s="63" t="str">
        <f aca="false">IF(OR(G52="",G65=""),"",G52+G65)</f>
        <v/>
      </c>
      <c r="H66" s="63" t="str">
        <f aca="false">IF(OR(H52="",H65=""),"",H52+H65)</f>
        <v/>
      </c>
    </row>
    <row r="67" customFormat="false" ht="15" hidden="false" customHeight="true" outlineLevel="0" collapsed="false">
      <c r="A67" s="22" t="s">
        <v>369</v>
      </c>
      <c r="B67" s="22"/>
      <c r="C67" s="22"/>
      <c r="D67" s="62" t="n">
        <f aca="false">IF(OR(D66="",D13=""),"",D66/D13)</f>
        <v>0.0560482509047045</v>
      </c>
      <c r="E67" s="62" t="str">
        <f aca="false">IF(OR(E66="",D13=""),"",E66/D13)</f>
        <v/>
      </c>
      <c r="F67" s="62" t="str">
        <f aca="false">IF(OR(F66="",D13=""),"",F66/D13)</f>
        <v/>
      </c>
      <c r="G67" s="62" t="str">
        <f aca="false">IF(OR(G66="",D13=""),"",G66/D13)</f>
        <v/>
      </c>
      <c r="H67" s="62" t="str">
        <f aca="false">IF(OR(H66="",D13=""),"",H66/D13)</f>
        <v/>
      </c>
    </row>
    <row r="68" customFormat="false" ht="23.85" hidden="false" customHeight="true" outlineLevel="0" collapsed="false">
      <c r="A68" s="22" t="s">
        <v>370</v>
      </c>
      <c r="B68" s="22"/>
      <c r="C68" s="22"/>
      <c r="D68" s="64" t="n">
        <f aca="false">IF(D66="","",(687942.8-D66)/2492854.34)</f>
        <v>0.220049278932198</v>
      </c>
      <c r="E68" s="64" t="str">
        <f aca="false">IF(E66="","",(687942.8-E66)/2492854.34)</f>
        <v/>
      </c>
      <c r="F68" s="64" t="str">
        <f aca="false">IF(F66="","",(687942.8-F66)/2492854.34)</f>
        <v/>
      </c>
      <c r="G68" s="64" t="str">
        <f aca="false">IF(G66="","",(687942.8-G66)/2492854.34)</f>
        <v/>
      </c>
      <c r="H68" s="64" t="str">
        <f aca="false">IF(H66="","",(687942.8-H66)/2492854.34)</f>
        <v/>
      </c>
    </row>
    <row r="69" customFormat="false" ht="15" hidden="false" customHeight="true" outlineLevel="0" collapsed="false">
      <c r="A69" s="22" t="s">
        <v>371</v>
      </c>
      <c r="B69" s="22"/>
      <c r="C69" s="22"/>
      <c r="D69" s="63" t="n">
        <f aca="true">IF(OR(D52="",AND(D62="",$D$35=""),D13=""),"",IF(IF(D62="",IF($D$35="",0,$D$35),D62)=0,0,SUMPRODUCT(((D13*1.02^(ROW(INDIRECT("1:10"))-1))-(IF(D63&lt;&gt;"",D63,IF($D$37&lt;&gt;"",$D$37,(D52*(1+IF(D53="",0,D53))^ROUNDDOWN((ROW(INDIRECT("1:10"))-1)/IF(D54="",5,D54),0))/IF(D62="",IF($D$35="",0,$D$35),D62))))&gt;0)*((D13*1.02^(ROW(INDIRECT("1:10"))-1))-(IF(D63&lt;&gt;"",D63,IF($D$37&lt;&gt;"",$D$37,(D52*(1+IF(D53="",0,D53))^ROUNDDOWN((ROW(INDIRECT("1:10"))-1)/IF(D54="",5,D54),0))/IF(D62="",IF($D$35="",0,$D$35),D62))))))*IF(D62="",IF($D$35="",0,$D$35),D62)))</f>
        <v>0</v>
      </c>
      <c r="E69" s="63" t="str">
        <f aca="true">IF(OR(E52="",AND(E62="",$D$35=""),D13=""),"",IF(IF(E62="",IF($D$35="",0,$D$35),E62)=0,0,SUMPRODUCT(((D13*1.02^(ROW(INDIRECT("1:10"))-1))-(IF(E63&lt;&gt;"",E63,IF($D$37&lt;&gt;"",$D$37,(E52*(1+IF(E53="",0,E53))^ROUNDDOWN((ROW(INDIRECT("1:10"))-1)/IF(E54="",5,E54),0))/IF(E62="",IF($D$35="",0,$D$35),E62))))&gt;0)*((D13*1.02^(ROW(INDIRECT("1:10"))-1))-(IF(E63&lt;&gt;"",E63,IF($D$37&lt;&gt;"",$D$37,(E52*(1+IF(E53="",0,E53))^ROUNDDOWN((ROW(INDIRECT("1:10"))-1)/IF(E54="",5,E54),0))/IF(E62="",IF($D$35="",0,$D$35),E62))))))*IF(E62="",IF($D$35="",0,$D$35),E62)))</f>
        <v/>
      </c>
      <c r="F69" s="63" t="str">
        <f aca="true">IF(OR(F52="",AND(F62="",$D$35=""),D13=""),"",IF(IF(F62="",IF($D$35="",0,$D$35),F62)=0,0,SUMPRODUCT(((D13*1.02^(ROW(INDIRECT("1:10"))-1))-(IF(F63&lt;&gt;"",F63,IF($D$37&lt;&gt;"",$D$37,(F52*(1+IF(F53="",0,F53))^ROUNDDOWN((ROW(INDIRECT("1:10"))-1)/IF(F54="",5,F54),0))/IF(F62="",IF($D$35="",0,$D$35),F62))))&gt;0)*((D13*1.02^(ROW(INDIRECT("1:10"))-1))-(IF(F63&lt;&gt;"",F63,IF($D$37&lt;&gt;"",$D$37,(F52*(1+IF(F53="",0,F53))^ROUNDDOWN((ROW(INDIRECT("1:10"))-1)/IF(F54="",5,F54),0))/IF(F62="",IF($D$35="",0,$D$35),F62))))))*IF(F62="",IF($D$35="",0,$D$35),F62)))</f>
        <v/>
      </c>
      <c r="G69" s="63" t="str">
        <f aca="true">IF(OR(G52="",AND(G62="",$D$35=""),D13=""),"",IF(IF(G62="",IF($D$35="",0,$D$35),G62)=0,0,SUMPRODUCT(((D13*1.02^(ROW(INDIRECT("1:10"))-1))-(IF(G63&lt;&gt;"",G63,IF($D$37&lt;&gt;"",$D$37,(G52*(1+IF(G53="",0,G53))^ROUNDDOWN((ROW(INDIRECT("1:10"))-1)/IF(G54="",5,G54),0))/IF(G62="",IF($D$35="",0,$D$35),G62))))&gt;0)*((D13*1.02^(ROW(INDIRECT("1:10"))-1))-(IF(G63&lt;&gt;"",G63,IF($D$37&lt;&gt;"",$D$37,(G52*(1+IF(G53="",0,G53))^ROUNDDOWN((ROW(INDIRECT("1:10"))-1)/IF(G54="",5,G54),0))/IF(G62="",IF($D$35="",0,$D$35),G62))))))*IF(G62="",IF($D$35="",0,$D$35),G62)))</f>
        <v/>
      </c>
      <c r="H69" s="63" t="str">
        <f aca="true">IF(OR(H52="",AND(H62="",$D$35=""),D13=""),"",IF(IF(H62="",IF($D$35="",0,$D$35),H62)=0,0,SUMPRODUCT(((D13*1.02^(ROW(INDIRECT("1:10"))-1))-(IF(H63&lt;&gt;"",H63,IF($D$37&lt;&gt;"",$D$37,(H52*(1+IF(H53="",0,H53))^ROUNDDOWN((ROW(INDIRECT("1:10"))-1)/IF(H54="",5,H54),0))/IF(H62="",IF($D$35="",0,$D$35),H62))))&gt;0)*((D13*1.02^(ROW(INDIRECT("1:10"))-1))-(IF(H63&lt;&gt;"",H63,IF($D$37&lt;&gt;"",$D$37,(H52*(1+IF(H53="",0,H53))^ROUNDDOWN((ROW(INDIRECT("1:10"))-1)/IF(H54="",5,H54),0))/IF(H62="",IF($D$35="",0,$D$35),H62))))))*IF(H62="",IF($D$35="",0,$D$35),H62)))</f>
        <v/>
      </c>
    </row>
    <row r="70" customFormat="false" ht="15" hidden="false" customHeight="true" outlineLevel="0" collapsed="false">
      <c r="A70" s="22" t="s">
        <v>372</v>
      </c>
      <c r="B70" s="22"/>
      <c r="C70" s="22"/>
      <c r="D70" s="63" t="n">
        <f aca="false">IF(OR(D60="",D69=""),"",D60+D69)</f>
        <v>1407859.2</v>
      </c>
      <c r="E70" s="63" t="str">
        <f aca="false">IF(OR(E60="",E69=""),"",E60+E69)</f>
        <v/>
      </c>
      <c r="F70" s="63" t="str">
        <f aca="false">IF(OR(F60="",F69=""),"",F60+F69)</f>
        <v/>
      </c>
      <c r="G70" s="63" t="str">
        <f aca="false">IF(OR(G60="",G69=""),"",G60+G69)</f>
        <v/>
      </c>
      <c r="H70" s="63" t="str">
        <f aca="false">IF(OR(H60="",H69=""),"",H60+H69)</f>
        <v/>
      </c>
    </row>
    <row r="71" customFormat="false" ht="23.85" hidden="false" customHeight="true" outlineLevel="0" collapsed="false">
      <c r="A71" s="22" t="s">
        <v>373</v>
      </c>
      <c r="B71" s="22"/>
      <c r="C71" s="22"/>
      <c r="D71" s="65" t="n">
        <f aca="true">IF(D52="","",SUMPRODUCT(D52*(1+IF(D53="",0,D53))^ROUNDDOWN((ROW(INDIRECT("1:"&amp;IF(D55="",10,D55)))-1)/IF(D54="",5,D54),0))+IF(OR(D13="",IF(D62="",IF($D$35="",0,$D$35),D62)=0),0,SUMPRODUCT(((D13*1.02^(ROW(INDIRECT("1:"&amp;IF(D55="",10,D55)))-1))-(IF(D63&lt;&gt;"",D63,IF($D$37&lt;&gt;"",$D$37,(D52*(1+IF(D53="",0,D53))^ROUNDDOWN((ROW(INDIRECT("1:"&amp;IF(D55="",10,D55)))-1)/IF(D54="",5,D54),0))/IF(D62="",IF($D$35="",0,$D$35),D62))))&gt;0)*((D13*1.02^(ROW(INDIRECT("1:"&amp;IF(D55="",10,D55)))-1))-(IF(D63&lt;&gt;"",D63,IF($D$37&lt;&gt;"",$D$37,(D52*(1+IF(D53="",0,D53))^ROUNDDOWN((ROW(INDIRECT("1:"&amp;IF(D55="",10,D55)))-1)/IF(D54="",5,D54),0))/IF(D62="",IF($D$35="",0,$D$35),D62))))))*IF(D62="",IF($D$35="",0,$D$35),D62)))</f>
        <v>2872595.91168</v>
      </c>
      <c r="E71" s="65" t="str">
        <f aca="true">IF(E52="","",SUMPRODUCT(E52*(1+IF(E53="",0,E53))^ROUNDDOWN((ROW(INDIRECT("1:"&amp;IF(E55="",10,E55)))-1)/IF(E54="",5,E54),0))+IF(OR(D13="",IF(E62="",IF($D$35="",0,$D$35),E62)=0),0,SUMPRODUCT(((D13*1.02^(ROW(INDIRECT("1:"&amp;IF(E55="",10,E55)))-1))-(IF(E63&lt;&gt;"",E63,IF($D$37&lt;&gt;"",$D$37,(E52*(1+IF(E53="",0,E53))^ROUNDDOWN((ROW(INDIRECT("1:"&amp;IF(E55="",10,E55)))-1)/IF(E54="",5,E54),0))/IF(E62="",IF($D$35="",0,$D$35),E62))))&gt;0)*((D13*1.02^(ROW(INDIRECT("1:"&amp;IF(E55="",10,E55)))-1))-(IF(E63&lt;&gt;"",E63,IF($D$37&lt;&gt;"",$D$37,(E52*(1+IF(E53="",0,E53))^ROUNDDOWN((ROW(INDIRECT("1:"&amp;IF(E55="",10,E55)))-1)/IF(E54="",5,E54),0))/IF(E62="",IF($D$35="",0,$D$35),E62))))))*IF(E62="",IF($D$35="",0,$D$35),E62)))</f>
        <v/>
      </c>
      <c r="F71" s="65" t="str">
        <f aca="true">IF(F52="","",SUMPRODUCT(F52*(1+IF(F53="",0,F53))^ROUNDDOWN((ROW(INDIRECT("1:"&amp;IF(F55="",10,F55)))-1)/IF(F54="",5,F54),0))+IF(OR(D13="",IF(F62="",IF($D$35="",0,$D$35),F62)=0),0,SUMPRODUCT(((D13*1.02^(ROW(INDIRECT("1:"&amp;IF(F55="",10,F55)))-1))-(IF(F63&lt;&gt;"",F63,IF($D$37&lt;&gt;"",$D$37,(F52*(1+IF(F53="",0,F53))^ROUNDDOWN((ROW(INDIRECT("1:"&amp;IF(F55="",10,F55)))-1)/IF(F54="",5,F54),0))/IF(F62="",IF($D$35="",0,$D$35),F62))))&gt;0)*((D13*1.02^(ROW(INDIRECT("1:"&amp;IF(F55="",10,F55)))-1))-(IF(F63&lt;&gt;"",F63,IF($D$37&lt;&gt;"",$D$37,(F52*(1+IF(F53="",0,F53))^ROUNDDOWN((ROW(INDIRECT("1:"&amp;IF(F55="",10,F55)))-1)/IF(F54="",5,F54),0))/IF(F62="",IF($D$35="",0,$D$35),F62))))))*IF(F62="",IF($D$35="",0,$D$35),F62)))</f>
        <v/>
      </c>
      <c r="G71" s="65" t="str">
        <f aca="true">IF(G52="","",SUMPRODUCT(G52*(1+IF(G53="",0,G53))^ROUNDDOWN((ROW(INDIRECT("1:"&amp;IF(G55="",10,G55)))-1)/IF(G54="",5,G54),0))+IF(OR(D13="",IF(G62="",IF($D$35="",0,$D$35),G62)=0),0,SUMPRODUCT(((D13*1.02^(ROW(INDIRECT("1:"&amp;IF(G55="",10,G55)))-1))-(IF(G63&lt;&gt;"",G63,IF($D$37&lt;&gt;"",$D$37,(G52*(1+IF(G53="",0,G53))^ROUNDDOWN((ROW(INDIRECT("1:"&amp;IF(G55="",10,G55)))-1)/IF(G54="",5,G54),0))/IF(G62="",IF($D$35="",0,$D$35),G62))))&gt;0)*((D13*1.02^(ROW(INDIRECT("1:"&amp;IF(G55="",10,G55)))-1))-(IF(G63&lt;&gt;"",G63,IF($D$37&lt;&gt;"",$D$37,(G52*(1+IF(G53="",0,G53))^ROUNDDOWN((ROW(INDIRECT("1:"&amp;IF(G55="",10,G55)))-1)/IF(G54="",5,G54),0))/IF(G62="",IF($D$35="",0,$D$35),G62))))))*IF(G62="",IF($D$35="",0,$D$35),G62)))</f>
        <v/>
      </c>
      <c r="H71" s="65" t="str">
        <f aca="true">IF(H52="","",SUMPRODUCT(H52*(1+IF(H53="",0,H53))^ROUNDDOWN((ROW(INDIRECT("1:"&amp;IF(H55="",10,H55)))-1)/IF(H54="",5,H54),0))+IF(OR(D13="",IF(H62="",IF($D$35="",0,$D$35),H62)=0),0,SUMPRODUCT(((D13*1.02^(ROW(INDIRECT("1:"&amp;IF(H55="",10,H55)))-1))-(IF(H63&lt;&gt;"",H63,IF($D$37&lt;&gt;"",$D$37,(H52*(1+IF(H53="",0,H53))^ROUNDDOWN((ROW(INDIRECT("1:"&amp;IF(H55="",10,H55)))-1)/IF(H54="",5,H54),0))/IF(H62="",IF($D$35="",0,$D$35),H62))))&gt;0)*((D13*1.02^(ROW(INDIRECT("1:"&amp;IF(H55="",10,H55)))-1))-(IF(H63&lt;&gt;"",H63,IF($D$37&lt;&gt;"",$D$37,(H52*(1+IF(H53="",0,H53))^ROUNDDOWN((ROW(INDIRECT("1:"&amp;IF(H55="",10,H55)))-1)/IF(H54="",5,H54),0))/IF(H62="",IF($D$35="",0,$D$35),H62))))))*IF(H62="",IF($D$35="",0,$D$35),H62)))</f>
        <v/>
      </c>
    </row>
    <row r="72" customFormat="false" ht="15" hidden="false" customHeight="true" outlineLevel="0" collapsed="false">
      <c r="A72" s="22" t="s">
        <v>374</v>
      </c>
      <c r="B72" s="22"/>
      <c r="C72" s="22"/>
      <c r="D72" s="62" t="n">
        <f aca="false">IF(D52="","",IF(D53="",0,(1+D53)^(5/IF(D54="",5,D54))-1))</f>
        <v>0.02</v>
      </c>
      <c r="E72" s="62" t="str">
        <f aca="false">IF(E52="","",IF(E53="",0,(1+E53)^(5/IF(E54="",5,E54))-1))</f>
        <v/>
      </c>
      <c r="F72" s="62" t="str">
        <f aca="false">IF(F52="","",IF(F53="",0,(1+F53)^(5/IF(F54="",5,F54))-1))</f>
        <v/>
      </c>
      <c r="G72" s="62" t="str">
        <f aca="false">IF(G52="","",IF(G53="",0,(1+G53)^(5/IF(G54="",5,G54))-1))</f>
        <v/>
      </c>
      <c r="H72" s="62" t="str">
        <f aca="false">IF(H52="","",IF(H53="",0,(1+H53)^(5/IF(H54="",5,H54))-1))</f>
        <v/>
      </c>
    </row>
    <row r="73" customFormat="false" ht="43.25" hidden="false" customHeight="true" outlineLevel="0" collapsed="false">
      <c r="A73" s="22" t="s">
        <v>375</v>
      </c>
      <c r="B73" s="22"/>
      <c r="C73" s="22"/>
      <c r="D73" s="66" t="str">
        <f aca="false">IF(D72="","",IF(D72&lt;=0,"REDUCTION / FLAT — ladder steps 1-2 (best)",IF(D72&lt;=0.08,"OK — within 8%/5-yr in-house authority (ladder step 3)","ABOVE 8%/5-yr — CEO SIGN-OFF REQUIRED (Rob 8/5/26)")))</f>
        <v>OK — within 8%/5-yr in-house authority (ladder step 3)</v>
      </c>
      <c r="E73" s="66" t="str">
        <f aca="false">IF(E72="","",IF(E72&lt;=0,"REDUCTION / FLAT — ladder steps 1-2 (best)",IF(E72&lt;=0.08,"OK — within 8%/5-yr in-house authority (ladder step 3)","ABOVE 8%/5-yr — CEO SIGN-OFF REQUIRED (Rob 8/5/26)")))</f>
        <v/>
      </c>
      <c r="F73" s="66" t="str">
        <f aca="false">IF(F72="","",IF(F72&lt;=0,"REDUCTION / FLAT — ladder steps 1-2 (best)",IF(F72&lt;=0.08,"OK — within 8%/5-yr in-house authority (ladder step 3)","ABOVE 8%/5-yr — CEO SIGN-OFF REQUIRED (Rob 8/5/26)")))</f>
        <v/>
      </c>
      <c r="G73" s="66" t="str">
        <f aca="false">IF(G72="","",IF(G72&lt;=0,"REDUCTION / FLAT — ladder steps 1-2 (best)",IF(G72&lt;=0.08,"OK — within 8%/5-yr in-house authority (ladder step 3)","ABOVE 8%/5-yr — CEO SIGN-OFF REQUIRED (Rob 8/5/26)")))</f>
        <v/>
      </c>
      <c r="H73" s="66" t="str">
        <f aca="false">IF(H72="","",IF(H72&lt;=0,"REDUCTION / FLAT — ladder steps 1-2 (best)",IF(H72&lt;=0.08,"OK — within 8%/5-yr in-house authority (ladder step 3)","ABOVE 8%/5-yr — CEO SIGN-OFF REQUIRED (Rob 8/5/26)")))</f>
        <v/>
      </c>
    </row>
    <row r="74" customFormat="false" ht="23.85" hidden="false" customHeight="true" outlineLevel="0" collapsed="false">
      <c r="A74" s="22" t="s">
        <v>376</v>
      </c>
      <c r="B74" s="22"/>
      <c r="C74" s="22"/>
      <c r="D74" s="62" t="n">
        <f aca="false">IF(OR(D52="",D13=""),"",((D52*(1+IF(D53="",0,D53))^ROUNDDOWN(9/IF(D54="",5,D54),0))+IF(IF(D62="",IF($D$35="",0,$D$35),D62)=0,0,MAX(0,D13*1.02^9-IF(D63&lt;&gt;"",D63,IF($D$37&lt;&gt;"",$D$37,(D52*(1+IF(D53="",0,D53))^ROUNDDOWN(9/IF(D54="",5,D54),0))/IF(D62="",IF($D$35="",0,$D$35),D62))))*IF(D62="",IF($D$35="",0,$D$35),D62)))/(D13*1.02^9))</f>
        <v>0.0478366424692127</v>
      </c>
      <c r="E74" s="62" t="str">
        <f aca="false">IF(OR(E52="",D13=""),"",((E52*(1+IF(E53="",0,E53))^ROUNDDOWN(9/IF(E54="",5,E54),0))+IF(IF(E62="",IF($D$35="",0,$D$35),E62)=0,0,MAX(0,D13*1.02^9-IF(E63&lt;&gt;"",E63,IF($D$37&lt;&gt;"",$D$37,(E52*(1+IF(E53="",0,E53))^ROUNDDOWN(9/IF(E54="",5,E54),0))/IF(E62="",IF($D$35="",0,$D$35),E62))))*IF(E62="",IF($D$35="",0,$D$35),E62)))/(D13*1.02^9))</f>
        <v/>
      </c>
      <c r="F74" s="62" t="str">
        <f aca="false">IF(OR(F52="",D13=""),"",((F52*(1+IF(F53="",0,F53))^ROUNDDOWN(9/IF(F54="",5,F54),0))+IF(IF(F62="",IF($D$35="",0,$D$35),F62)=0,0,MAX(0,D13*1.02^9-IF(F63&lt;&gt;"",F63,IF($D$37&lt;&gt;"",$D$37,(F52*(1+IF(F53="",0,F53))^ROUNDDOWN(9/IF(F54="",5,F54),0))/IF(F62="",IF($D$35="",0,$D$35),F62))))*IF(F62="",IF($D$35="",0,$D$35),F62)))/(D13*1.02^9))</f>
        <v/>
      </c>
      <c r="G74" s="62" t="str">
        <f aca="false">IF(OR(G52="",D13=""),"",((G52*(1+IF(G53="",0,G53))^ROUNDDOWN(9/IF(G54="",5,G54),0))+IF(IF(G62="",IF($D$35="",0,$D$35),G62)=0,0,MAX(0,D13*1.02^9-IF(G63&lt;&gt;"",G63,IF($D$37&lt;&gt;"",$D$37,(G52*(1+IF(G53="",0,G53))^ROUNDDOWN(9/IF(G54="",5,G54),0))/IF(G62="",IF($D$35="",0,$D$35),G62))))*IF(G62="",IF($D$35="",0,$D$35),G62)))/(D13*1.02^9))</f>
        <v/>
      </c>
      <c r="H74" s="62" t="str">
        <f aca="false">IF(OR(H52="",D13=""),"",((H52*(1+IF(H53="",0,H53))^ROUNDDOWN(9/IF(H54="",5,H54),0))+IF(IF(H62="",IF($D$35="",0,$D$35),H62)=0,0,MAX(0,D13*1.02^9-IF(H63&lt;&gt;"",H63,IF($D$37&lt;&gt;"",$D$37,(H52*(1+IF(H53="",0,H53))^ROUNDDOWN(9/IF(H54="",5,H54),0))/IF(H62="",IF($D$35="",0,$D$35),H62))))*IF(H62="",IF($D$35="",0,$D$35),H62)))/(D13*1.02^9))</f>
        <v/>
      </c>
    </row>
    <row r="75" customFormat="false" ht="23.85" hidden="false" customHeight="true" outlineLevel="0" collapsed="false">
      <c r="A75" s="22" t="s">
        <v>377</v>
      </c>
      <c r="B75" s="22"/>
      <c r="C75" s="22"/>
      <c r="D75" s="66" t="str">
        <f aca="false">IF(OR(D74="",D67=""),"",IF(MAX(D67,D74)&gt;=0.08,"HARD STOP — occupancy at/above 8% of sales: STOP, CEO sign-off before responding",IF(MAX(D67,D74)&gt;0.07,"Above Kim 7% alert — approaching 8% hard stop","OK — under 7% alert")))</f>
        <v>OK — under 7% alert</v>
      </c>
      <c r="E75" s="66" t="str">
        <f aca="false">IF(OR(E74="",E67=""),"",IF(MAX(E67,E74)&gt;=0.08,"HARD STOP — occupancy at/above 8% of sales: STOP, CEO sign-off before responding",IF(MAX(E67,E74)&gt;0.07,"Above Kim 7% alert — approaching 8% hard stop","OK — under 7% alert")))</f>
        <v/>
      </c>
      <c r="F75" s="66" t="str">
        <f aca="false">IF(OR(F74="",F67=""),"",IF(MAX(F67,F74)&gt;=0.08,"HARD STOP — occupancy at/above 8% of sales: STOP, CEO sign-off before responding",IF(MAX(F67,F74)&gt;0.07,"Above Kim 7% alert — approaching 8% hard stop","OK — under 7% alert")))</f>
        <v/>
      </c>
      <c r="G75" s="66" t="str">
        <f aca="false">IF(OR(G74="",G67=""),"",IF(MAX(G67,G74)&gt;=0.08,"HARD STOP — occupancy at/above 8% of sales: STOP, CEO sign-off before responding",IF(MAX(G67,G74)&gt;0.07,"Above Kim 7% alert — approaching 8% hard stop","OK — under 7% alert")))</f>
        <v/>
      </c>
      <c r="H75" s="66" t="str">
        <f aca="false">IF(OR(H74="",H67=""),"",IF(MAX(H67,H74)&gt;=0.08,"HARD STOP — occupancy at/above 8% of sales: STOP, CEO sign-off before responding",IF(MAX(H67,H74)&gt;0.07,"Above Kim 7% alert — approaching 8% hard stop","OK — under 7% alert")))</f>
        <v/>
      </c>
    </row>
    <row r="77" customFormat="false" ht="22.35" hidden="false" customHeight="true" outlineLevel="0" collapsed="false">
      <c r="A77" s="67" t="s">
        <v>378</v>
      </c>
      <c r="B77" s="67"/>
      <c r="C77" s="67"/>
      <c r="D77" s="67"/>
      <c r="E77" s="67"/>
      <c r="F77" s="67"/>
      <c r="G77" s="67"/>
      <c r="H77" s="67"/>
      <c r="I77" s="67"/>
      <c r="J77" s="67"/>
    </row>
    <row r="78" customFormat="false" ht="22.35" hidden="false" customHeight="true" outlineLevel="0" collapsed="false">
      <c r="A78" s="68" t="s">
        <v>379</v>
      </c>
      <c r="B78" s="68"/>
      <c r="C78" s="68"/>
      <c r="D78" s="68"/>
      <c r="E78" s="68"/>
      <c r="F78" s="68"/>
      <c r="G78" s="68"/>
      <c r="H78" s="68"/>
      <c r="I78" s="68"/>
      <c r="J78" s="68"/>
    </row>
    <row r="80" customFormat="false" ht="15" hidden="false" customHeight="false" outlineLevel="0" collapsed="false">
      <c r="A80" s="69" t="s">
        <v>380</v>
      </c>
      <c r="B80" s="69"/>
      <c r="C80" s="69"/>
      <c r="D80" s="69"/>
      <c r="E80" s="69"/>
      <c r="F80" s="69"/>
      <c r="G80" s="69"/>
      <c r="H80" s="69"/>
      <c r="I80" s="69"/>
      <c r="J80" s="69"/>
    </row>
    <row r="83" customFormat="false" ht="15" hidden="false" customHeight="false" outlineLevel="0" collapsed="false">
      <c r="A83" s="25" t="s">
        <v>381</v>
      </c>
    </row>
    <row r="84" customFormat="false" ht="15" hidden="false" customHeight="false" outlineLevel="0" collapsed="false">
      <c r="A84" s="69" t="s">
        <v>382</v>
      </c>
      <c r="B84" s="69"/>
      <c r="C84" s="69"/>
      <c r="D84" s="69"/>
      <c r="E84" s="69"/>
      <c r="F84" s="69"/>
      <c r="G84" s="69"/>
      <c r="H84" s="69"/>
      <c r="I84" s="69"/>
      <c r="J84" s="69"/>
      <c r="K84" s="69"/>
      <c r="L84" s="69"/>
      <c r="M84" s="69"/>
      <c r="N84" s="69"/>
      <c r="O84" s="69"/>
      <c r="P84" s="69"/>
      <c r="Q84" s="69"/>
      <c r="R84" s="69"/>
      <c r="S84" s="69"/>
      <c r="T84" s="69"/>
    </row>
    <row r="85" customFormat="false" ht="15" hidden="false" customHeight="true" outlineLevel="0" collapsed="false">
      <c r="A85" s="70" t="s">
        <v>383</v>
      </c>
      <c r="B85" s="70" t="s">
        <v>384</v>
      </c>
      <c r="C85" s="71" t="s">
        <v>385</v>
      </c>
      <c r="D85" s="71"/>
      <c r="E85" s="71"/>
      <c r="F85" s="71" t="s">
        <v>386</v>
      </c>
      <c r="G85" s="71"/>
      <c r="H85" s="71"/>
      <c r="I85" s="71" t="s">
        <v>387</v>
      </c>
      <c r="J85" s="71"/>
      <c r="K85" s="71"/>
      <c r="L85" s="71" t="s">
        <v>388</v>
      </c>
      <c r="M85" s="71"/>
      <c r="N85" s="71"/>
      <c r="O85" s="71" t="s">
        <v>389</v>
      </c>
      <c r="P85" s="71"/>
      <c r="Q85" s="71"/>
      <c r="R85" s="72" t="s">
        <v>390</v>
      </c>
      <c r="S85" s="72"/>
      <c r="T85" s="72"/>
    </row>
    <row r="86" customFormat="false" ht="15" hidden="false" customHeight="false" outlineLevel="0" collapsed="false">
      <c r="A86" s="73"/>
      <c r="B86" s="73"/>
      <c r="C86" s="73" t="s">
        <v>391</v>
      </c>
      <c r="D86" s="73" t="s">
        <v>392</v>
      </c>
      <c r="E86" s="73" t="s">
        <v>393</v>
      </c>
      <c r="F86" s="73" t="s">
        <v>391</v>
      </c>
      <c r="G86" s="73" t="s">
        <v>392</v>
      </c>
      <c r="H86" s="73" t="s">
        <v>393</v>
      </c>
      <c r="I86" s="73" t="s">
        <v>391</v>
      </c>
      <c r="J86" s="73" t="s">
        <v>392</v>
      </c>
      <c r="K86" s="73" t="s">
        <v>393</v>
      </c>
      <c r="L86" s="73" t="s">
        <v>391</v>
      </c>
      <c r="M86" s="73" t="s">
        <v>392</v>
      </c>
      <c r="N86" s="73" t="s">
        <v>393</v>
      </c>
      <c r="O86" s="73" t="s">
        <v>391</v>
      </c>
      <c r="P86" s="73" t="s">
        <v>392</v>
      </c>
      <c r="Q86" s="73" t="s">
        <v>393</v>
      </c>
      <c r="R86" s="73" t="s">
        <v>391</v>
      </c>
      <c r="S86" s="73" t="s">
        <v>392</v>
      </c>
      <c r="T86" s="73" t="s">
        <v>393</v>
      </c>
    </row>
    <row r="87" customFormat="false" ht="15" hidden="false" customHeight="false" outlineLevel="0" collapsed="false">
      <c r="A87" s="74" t="n">
        <v>1</v>
      </c>
      <c r="B87" s="75" t="n">
        <v>2487000</v>
      </c>
      <c r="C87" s="76" t="n">
        <v>139392</v>
      </c>
      <c r="D87" s="76" t="n">
        <v>0</v>
      </c>
      <c r="E87" s="76" t="n">
        <v>139392</v>
      </c>
      <c r="F87" s="75" t="n">
        <f aca="false">IF(D52="","",IF(1&gt;IF(D55="",10,D55),"",D52*(1+IF(D53="",0,D53))^ROUNDDOWN((1-1)/IF(D54="",5,D54),0)))</f>
        <v>139392</v>
      </c>
      <c r="G87" s="75" t="n">
        <f aca="false">IF(F87="","",IF((IF(D62="",IF($D$35="",0,$D$35),D62))=0,0,MAX(0,2487000-(IF(D63&lt;&gt;"",D63,IF($D$37&lt;&gt;"",$D$37,IF((IF(D62="",IF($D$35="",0,$D$35),D62))=0,0,D52/(IF(D62="",IF($D$35="",0,$D$35),D62)))))))*(IF(D62="",IF($D$35="",0,$D$35),D62))))</f>
        <v>0</v>
      </c>
      <c r="H87" s="75" t="n">
        <f aca="false">IF(F87="","",F87+G87)</f>
        <v>139392</v>
      </c>
      <c r="I87" s="75" t="str">
        <f aca="false">IF(E52="","",IF(1&gt;IF(E55="",10,E55),"",E52*(1+IF(E53="",0,E53))^ROUNDDOWN((1-1)/IF(E54="",5,E54),0)))</f>
        <v/>
      </c>
      <c r="J87" s="75" t="str">
        <f aca="false">IF(I87="","",IF((IF(E62="",IF($D$35="",0,$D$35),E62))=0,0,MAX(0,2487000-(IF(E63&lt;&gt;"",E63,IF($D$37&lt;&gt;"",$D$37,IF((IF(E62="",IF($D$35="",0,$D$35),E62))=0,0,E52/(IF(E62="",IF($D$35="",0,$D$35),E62)))))))*(IF(E62="",IF($D$35="",0,$D$35),E62))))</f>
        <v/>
      </c>
      <c r="K87" s="75" t="str">
        <f aca="false">IF(I87="","",I87+J87)</f>
        <v/>
      </c>
      <c r="L87" s="75" t="str">
        <f aca="false">IF(F52="","",IF(1&gt;IF(F55="",10,F55),"",F52*(1+IF(F53="",0,F53))^ROUNDDOWN((1-1)/IF(F54="",5,F54),0)))</f>
        <v/>
      </c>
      <c r="M87" s="75" t="str">
        <f aca="false">IF(L87="","",IF((IF(F62="",IF($D$35="",0,$D$35),F62))=0,0,MAX(0,2487000-(IF(F63&lt;&gt;"",F63,IF($D$37&lt;&gt;"",$D$37,IF((IF(F62="",IF($D$35="",0,$D$35),F62))=0,0,F52/(IF(F62="",IF($D$35="",0,$D$35),F62)))))))*(IF(F62="",IF($D$35="",0,$D$35),F62))))</f>
        <v/>
      </c>
      <c r="N87" s="75" t="str">
        <f aca="false">IF(L87="","",L87+M87)</f>
        <v/>
      </c>
      <c r="O87" s="75" t="str">
        <f aca="false">IF(G52="","",IF(1&gt;IF(G55="",10,G55),"",G52*(1+IF(G53="",0,G53))^ROUNDDOWN((1-1)/IF(G54="",5,G54),0)))</f>
        <v/>
      </c>
      <c r="P87" s="75" t="str">
        <f aca="false">IF(O87="","",IF((IF(G62="",IF($D$35="",0,$D$35),G62))=0,0,MAX(0,2487000-(IF(G63&lt;&gt;"",G63,IF($D$37&lt;&gt;"",$D$37,IF((IF(G62="",IF($D$35="",0,$D$35),G62))=0,0,G52/(IF(G62="",IF($D$35="",0,$D$35),G62)))))))*(IF(G62="",IF($D$35="",0,$D$35),G62))))</f>
        <v/>
      </c>
      <c r="Q87" s="75" t="str">
        <f aca="false">IF(O87="","",O87+P87)</f>
        <v/>
      </c>
      <c r="R87" s="75" t="str">
        <f aca="false">IF(H52="","",IF(1&gt;IF(H55="",10,H55),"",H52*(1+IF(H53="",0,H53))^ROUNDDOWN((1-1)/IF(H54="",5,H54),0)))</f>
        <v/>
      </c>
      <c r="S87" s="75" t="str">
        <f aca="false">IF(R87="","",IF((IF(H62="",IF($D$35="",0,$D$35),H62))=0,0,MAX(0,2487000-(IF(H63&lt;&gt;"",H63,IF($D$37&lt;&gt;"",$D$37,IF((IF(H62="",IF($D$35="",0,$D$35),H62))=0,0,H52/(IF(H62="",IF($D$35="",0,$D$35),H62)))))))*(IF(H62="",IF($D$35="",0,$D$35),H62))))</f>
        <v/>
      </c>
      <c r="T87" s="75" t="str">
        <f aca="false">IF(R87="","",R87+S87)</f>
        <v/>
      </c>
    </row>
    <row r="88" customFormat="false" ht="15" hidden="false" customHeight="false" outlineLevel="0" collapsed="false">
      <c r="A88" s="74" t="n">
        <v>2</v>
      </c>
      <c r="B88" s="75" t="n">
        <v>2536740</v>
      </c>
      <c r="C88" s="76" t="n">
        <v>139392</v>
      </c>
      <c r="D88" s="76" t="n">
        <v>0</v>
      </c>
      <c r="E88" s="76" t="n">
        <v>139392</v>
      </c>
      <c r="F88" s="75" t="n">
        <f aca="false">IF(D52="","",IF(2&gt;IF(D55="",10,D55),"",D52*(1+IF(D53="",0,D53))^ROUNDDOWN((2-1)/IF(D54="",5,D54),0)))</f>
        <v>139392</v>
      </c>
      <c r="G88" s="75" t="n">
        <f aca="false">IF(F88="","",IF((IF(D62="",IF($D$35="",0,$D$35),D62))=0,0,MAX(0,2536740-(IF(D63&lt;&gt;"",D63,IF($D$37&lt;&gt;"",$D$37,IF((IF(D62="",IF($D$35="",0,$D$35),D62))=0,0,D52/(IF(D62="",IF($D$35="",0,$D$35),D62)))))))*(IF(D62="",IF($D$35="",0,$D$35),D62))))</f>
        <v>0</v>
      </c>
      <c r="H88" s="75" t="n">
        <f aca="false">IF(F88="","",F88+G88)</f>
        <v>139392</v>
      </c>
      <c r="I88" s="75" t="str">
        <f aca="false">IF(E52="","",IF(2&gt;IF(E55="",10,E55),"",E52*(1+IF(E53="",0,E53))^ROUNDDOWN((2-1)/IF(E54="",5,E54),0)))</f>
        <v/>
      </c>
      <c r="J88" s="75" t="str">
        <f aca="false">IF(I88="","",IF((IF(E62="",IF($D$35="",0,$D$35),E62))=0,0,MAX(0,2536740-(IF(E63&lt;&gt;"",E63,IF($D$37&lt;&gt;"",$D$37,IF((IF(E62="",IF($D$35="",0,$D$35),E62))=0,0,E52/(IF(E62="",IF($D$35="",0,$D$35),E62)))))))*(IF(E62="",IF($D$35="",0,$D$35),E62))))</f>
        <v/>
      </c>
      <c r="K88" s="75" t="str">
        <f aca="false">IF(I88="","",I88+J88)</f>
        <v/>
      </c>
      <c r="L88" s="75" t="str">
        <f aca="false">IF(F52="","",IF(2&gt;IF(F55="",10,F55),"",F52*(1+IF(F53="",0,F53))^ROUNDDOWN((2-1)/IF(F54="",5,F54),0)))</f>
        <v/>
      </c>
      <c r="M88" s="75" t="str">
        <f aca="false">IF(L88="","",IF((IF(F62="",IF($D$35="",0,$D$35),F62))=0,0,MAX(0,2536740-(IF(F63&lt;&gt;"",F63,IF($D$37&lt;&gt;"",$D$37,IF((IF(F62="",IF($D$35="",0,$D$35),F62))=0,0,F52/(IF(F62="",IF($D$35="",0,$D$35),F62)))))))*(IF(F62="",IF($D$35="",0,$D$35),F62))))</f>
        <v/>
      </c>
      <c r="N88" s="75" t="str">
        <f aca="false">IF(L88="","",L88+M88)</f>
        <v/>
      </c>
      <c r="O88" s="75" t="str">
        <f aca="false">IF(G52="","",IF(2&gt;IF(G55="",10,G55),"",G52*(1+IF(G53="",0,G53))^ROUNDDOWN((2-1)/IF(G54="",5,G54),0)))</f>
        <v/>
      </c>
      <c r="P88" s="75" t="str">
        <f aca="false">IF(O88="","",IF((IF(G62="",IF($D$35="",0,$D$35),G62))=0,0,MAX(0,2536740-(IF(G63&lt;&gt;"",G63,IF($D$37&lt;&gt;"",$D$37,IF((IF(G62="",IF($D$35="",0,$D$35),G62))=0,0,G52/(IF(G62="",IF($D$35="",0,$D$35),G62)))))))*(IF(G62="",IF($D$35="",0,$D$35),G62))))</f>
        <v/>
      </c>
      <c r="Q88" s="75" t="str">
        <f aca="false">IF(O88="","",O88+P88)</f>
        <v/>
      </c>
      <c r="R88" s="75" t="str">
        <f aca="false">IF(H52="","",IF(2&gt;IF(H55="",10,H55),"",H52*(1+IF(H53="",0,H53))^ROUNDDOWN((2-1)/IF(H54="",5,H54),0)))</f>
        <v/>
      </c>
      <c r="S88" s="75" t="str">
        <f aca="false">IF(R88="","",IF((IF(H62="",IF($D$35="",0,$D$35),H62))=0,0,MAX(0,2536740-(IF(H63&lt;&gt;"",H63,IF($D$37&lt;&gt;"",$D$37,IF((IF(H62="",IF($D$35="",0,$D$35),H62))=0,0,H52/(IF(H62="",IF($D$35="",0,$D$35),H62)))))))*(IF(H62="",IF($D$35="",0,$D$35),H62))))</f>
        <v/>
      </c>
      <c r="T88" s="75" t="str">
        <f aca="false">IF(R88="","",R88+S88)</f>
        <v/>
      </c>
    </row>
    <row r="89" customFormat="false" ht="15" hidden="false" customHeight="false" outlineLevel="0" collapsed="false">
      <c r="A89" s="74" t="n">
        <v>3</v>
      </c>
      <c r="B89" s="75" t="n">
        <v>2587475</v>
      </c>
      <c r="C89" s="76" t="n">
        <v>139392</v>
      </c>
      <c r="D89" s="76" t="n">
        <v>0</v>
      </c>
      <c r="E89" s="76" t="n">
        <v>139392</v>
      </c>
      <c r="F89" s="75" t="n">
        <f aca="false">IF(D52="","",IF(3&gt;IF(D55="",10,D55),"",D52*(1+IF(D53="",0,D53))^ROUNDDOWN((3-1)/IF(D54="",5,D54),0)))</f>
        <v>139392</v>
      </c>
      <c r="G89" s="75" t="n">
        <f aca="false">IF(F89="","",IF((IF(D62="",IF($D$35="",0,$D$35),D62))=0,0,MAX(0,2587474.8-(IF(D63&lt;&gt;"",D63,IF($D$37&lt;&gt;"",$D$37,IF((IF(D62="",IF($D$35="",0,$D$35),D62))=0,0,D52/(IF(D62="",IF($D$35="",0,$D$35),D62)))))))*(IF(D62="",IF($D$35="",0,$D$35),D62))))</f>
        <v>0</v>
      </c>
      <c r="H89" s="75" t="n">
        <f aca="false">IF(F89="","",F89+G89)</f>
        <v>139392</v>
      </c>
      <c r="I89" s="75" t="str">
        <f aca="false">IF(E52="","",IF(3&gt;IF(E55="",10,E55),"",E52*(1+IF(E53="",0,E53))^ROUNDDOWN((3-1)/IF(E54="",5,E54),0)))</f>
        <v/>
      </c>
      <c r="J89" s="75" t="str">
        <f aca="false">IF(I89="","",IF((IF(E62="",IF($D$35="",0,$D$35),E62))=0,0,MAX(0,2587474.8-(IF(E63&lt;&gt;"",E63,IF($D$37&lt;&gt;"",$D$37,IF((IF(E62="",IF($D$35="",0,$D$35),E62))=0,0,E52/(IF(E62="",IF($D$35="",0,$D$35),E62)))))))*(IF(E62="",IF($D$35="",0,$D$35),E62))))</f>
        <v/>
      </c>
      <c r="K89" s="75" t="str">
        <f aca="false">IF(I89="","",I89+J89)</f>
        <v/>
      </c>
      <c r="L89" s="75" t="str">
        <f aca="false">IF(F52="","",IF(3&gt;IF(F55="",10,F55),"",F52*(1+IF(F53="",0,F53))^ROUNDDOWN((3-1)/IF(F54="",5,F54),0)))</f>
        <v/>
      </c>
      <c r="M89" s="75" t="str">
        <f aca="false">IF(L89="","",IF((IF(F62="",IF($D$35="",0,$D$35),F62))=0,0,MAX(0,2587474.8-(IF(F63&lt;&gt;"",F63,IF($D$37&lt;&gt;"",$D$37,IF((IF(F62="",IF($D$35="",0,$D$35),F62))=0,0,F52/(IF(F62="",IF($D$35="",0,$D$35),F62)))))))*(IF(F62="",IF($D$35="",0,$D$35),F62))))</f>
        <v/>
      </c>
      <c r="N89" s="75" t="str">
        <f aca="false">IF(L89="","",L89+M89)</f>
        <v/>
      </c>
      <c r="O89" s="75" t="str">
        <f aca="false">IF(G52="","",IF(3&gt;IF(G55="",10,G55),"",G52*(1+IF(G53="",0,G53))^ROUNDDOWN((3-1)/IF(G54="",5,G54),0)))</f>
        <v/>
      </c>
      <c r="P89" s="75" t="str">
        <f aca="false">IF(O89="","",IF((IF(G62="",IF($D$35="",0,$D$35),G62))=0,0,MAX(0,2587474.8-(IF(G63&lt;&gt;"",G63,IF($D$37&lt;&gt;"",$D$37,IF((IF(G62="",IF($D$35="",0,$D$35),G62))=0,0,G52/(IF(G62="",IF($D$35="",0,$D$35),G62)))))))*(IF(G62="",IF($D$35="",0,$D$35),G62))))</f>
        <v/>
      </c>
      <c r="Q89" s="75" t="str">
        <f aca="false">IF(O89="","",O89+P89)</f>
        <v/>
      </c>
      <c r="R89" s="75" t="str">
        <f aca="false">IF(H52="","",IF(3&gt;IF(H55="",10,H55),"",H52*(1+IF(H53="",0,H53))^ROUNDDOWN((3-1)/IF(H54="",5,H54),0)))</f>
        <v/>
      </c>
      <c r="S89" s="75" t="str">
        <f aca="false">IF(R89="","",IF((IF(H62="",IF($D$35="",0,$D$35),H62))=0,0,MAX(0,2587474.8-(IF(H63&lt;&gt;"",H63,IF($D$37&lt;&gt;"",$D$37,IF((IF(H62="",IF($D$35="",0,$D$35),H62))=0,0,H52/(IF(H62="",IF($D$35="",0,$D$35),H62)))))))*(IF(H62="",IF($D$35="",0,$D$35),H62))))</f>
        <v/>
      </c>
      <c r="T89" s="75" t="str">
        <f aca="false">IF(R89="","",R89+S89)</f>
        <v/>
      </c>
    </row>
    <row r="90" customFormat="false" ht="15" hidden="false" customHeight="false" outlineLevel="0" collapsed="false">
      <c r="A90" s="74" t="n">
        <v>4</v>
      </c>
      <c r="B90" s="75" t="n">
        <v>2639224</v>
      </c>
      <c r="C90" s="76" t="n">
        <v>139392</v>
      </c>
      <c r="D90" s="76" t="n">
        <v>0</v>
      </c>
      <c r="E90" s="76" t="n">
        <v>139392</v>
      </c>
      <c r="F90" s="75" t="n">
        <f aca="false">IF(D52="","",IF(4&gt;IF(D55="",10,D55),"",D52*(1+IF(D53="",0,D53))^ROUNDDOWN((4-1)/IF(D54="",5,D54),0)))</f>
        <v>139392</v>
      </c>
      <c r="G90" s="75" t="n">
        <f aca="false">IF(F90="","",IF((IF(D62="",IF($D$35="",0,$D$35),D62))=0,0,MAX(0,2639224.3-(IF(D63&lt;&gt;"",D63,IF($D$37&lt;&gt;"",$D$37,IF((IF(D62="",IF($D$35="",0,$D$35),D62))=0,0,D52/(IF(D62="",IF($D$35="",0,$D$35),D62)))))))*(IF(D62="",IF($D$35="",0,$D$35),D62))))</f>
        <v>0</v>
      </c>
      <c r="H90" s="75" t="n">
        <f aca="false">IF(F90="","",F90+G90)</f>
        <v>139392</v>
      </c>
      <c r="I90" s="75" t="str">
        <f aca="false">IF(E52="","",IF(4&gt;IF(E55="",10,E55),"",E52*(1+IF(E53="",0,E53))^ROUNDDOWN((4-1)/IF(E54="",5,E54),0)))</f>
        <v/>
      </c>
      <c r="J90" s="75" t="str">
        <f aca="false">IF(I90="","",IF((IF(E62="",IF($D$35="",0,$D$35),E62))=0,0,MAX(0,2639224.3-(IF(E63&lt;&gt;"",E63,IF($D$37&lt;&gt;"",$D$37,IF((IF(E62="",IF($D$35="",0,$D$35),E62))=0,0,E52/(IF(E62="",IF($D$35="",0,$D$35),E62)))))))*(IF(E62="",IF($D$35="",0,$D$35),E62))))</f>
        <v/>
      </c>
      <c r="K90" s="75" t="str">
        <f aca="false">IF(I90="","",I90+J90)</f>
        <v/>
      </c>
      <c r="L90" s="75" t="str">
        <f aca="false">IF(F52="","",IF(4&gt;IF(F55="",10,F55),"",F52*(1+IF(F53="",0,F53))^ROUNDDOWN((4-1)/IF(F54="",5,F54),0)))</f>
        <v/>
      </c>
      <c r="M90" s="75" t="str">
        <f aca="false">IF(L90="","",IF((IF(F62="",IF($D$35="",0,$D$35),F62))=0,0,MAX(0,2639224.3-(IF(F63&lt;&gt;"",F63,IF($D$37&lt;&gt;"",$D$37,IF((IF(F62="",IF($D$35="",0,$D$35),F62))=0,0,F52/(IF(F62="",IF($D$35="",0,$D$35),F62)))))))*(IF(F62="",IF($D$35="",0,$D$35),F62))))</f>
        <v/>
      </c>
      <c r="N90" s="75" t="str">
        <f aca="false">IF(L90="","",L90+M90)</f>
        <v/>
      </c>
      <c r="O90" s="75" t="str">
        <f aca="false">IF(G52="","",IF(4&gt;IF(G55="",10,G55),"",G52*(1+IF(G53="",0,G53))^ROUNDDOWN((4-1)/IF(G54="",5,G54),0)))</f>
        <v/>
      </c>
      <c r="P90" s="75" t="str">
        <f aca="false">IF(O90="","",IF((IF(G62="",IF($D$35="",0,$D$35),G62))=0,0,MAX(0,2639224.3-(IF(G63&lt;&gt;"",G63,IF($D$37&lt;&gt;"",$D$37,IF((IF(G62="",IF($D$35="",0,$D$35),G62))=0,0,G52/(IF(G62="",IF($D$35="",0,$D$35),G62)))))))*(IF(G62="",IF($D$35="",0,$D$35),G62))))</f>
        <v/>
      </c>
      <c r="Q90" s="75" t="str">
        <f aca="false">IF(O90="","",O90+P90)</f>
        <v/>
      </c>
      <c r="R90" s="75" t="str">
        <f aca="false">IF(H52="","",IF(4&gt;IF(H55="",10,H55),"",H52*(1+IF(H53="",0,H53))^ROUNDDOWN((4-1)/IF(H54="",5,H54),0)))</f>
        <v/>
      </c>
      <c r="S90" s="75" t="str">
        <f aca="false">IF(R90="","",IF((IF(H62="",IF($D$35="",0,$D$35),H62))=0,0,MAX(0,2639224.3-(IF(H63&lt;&gt;"",H63,IF($D$37&lt;&gt;"",$D$37,IF((IF(H62="",IF($D$35="",0,$D$35),H62))=0,0,H52/(IF(H62="",IF($D$35="",0,$D$35),H62)))))))*(IF(H62="",IF($D$35="",0,$D$35),H62))))</f>
        <v/>
      </c>
      <c r="T90" s="75" t="str">
        <f aca="false">IF(R90="","",R90+S90)</f>
        <v/>
      </c>
    </row>
    <row r="91" customFormat="false" ht="15" hidden="false" customHeight="false" outlineLevel="0" collapsed="false">
      <c r="A91" s="74" t="n">
        <v>5</v>
      </c>
      <c r="B91" s="75" t="n">
        <v>2692009</v>
      </c>
      <c r="C91" s="76" t="n">
        <v>139392</v>
      </c>
      <c r="D91" s="76" t="n">
        <v>0</v>
      </c>
      <c r="E91" s="76" t="n">
        <v>139392</v>
      </c>
      <c r="F91" s="75" t="n">
        <f aca="false">IF(D52="","",IF(5&gt;IF(D55="",10,D55),"",D52*(1+IF(D53="",0,D53))^ROUNDDOWN((5-1)/IF(D54="",5,D54),0)))</f>
        <v>139392</v>
      </c>
      <c r="G91" s="75" t="n">
        <f aca="false">IF(F91="","",IF((IF(D62="",IF($D$35="",0,$D$35),D62))=0,0,MAX(0,2692008.78-(IF(D63&lt;&gt;"",D63,IF($D$37&lt;&gt;"",$D$37,IF((IF(D62="",IF($D$35="",0,$D$35),D62))=0,0,D52/(IF(D62="",IF($D$35="",0,$D$35),D62)))))))*(IF(D62="",IF($D$35="",0,$D$35),D62))))</f>
        <v>0</v>
      </c>
      <c r="H91" s="75" t="n">
        <f aca="false">IF(F91="","",F91+G91)</f>
        <v>139392</v>
      </c>
      <c r="I91" s="75" t="str">
        <f aca="false">IF(E52="","",IF(5&gt;IF(E55="",10,E55),"",E52*(1+IF(E53="",0,E53))^ROUNDDOWN((5-1)/IF(E54="",5,E54),0)))</f>
        <v/>
      </c>
      <c r="J91" s="75" t="str">
        <f aca="false">IF(I91="","",IF((IF(E62="",IF($D$35="",0,$D$35),E62))=0,0,MAX(0,2692008.78-(IF(E63&lt;&gt;"",E63,IF($D$37&lt;&gt;"",$D$37,IF((IF(E62="",IF($D$35="",0,$D$35),E62))=0,0,E52/(IF(E62="",IF($D$35="",0,$D$35),E62)))))))*(IF(E62="",IF($D$35="",0,$D$35),E62))))</f>
        <v/>
      </c>
      <c r="K91" s="75" t="str">
        <f aca="false">IF(I91="","",I91+J91)</f>
        <v/>
      </c>
      <c r="L91" s="75" t="str">
        <f aca="false">IF(F52="","",IF(5&gt;IF(F55="",10,F55),"",F52*(1+IF(F53="",0,F53))^ROUNDDOWN((5-1)/IF(F54="",5,F54),0)))</f>
        <v/>
      </c>
      <c r="M91" s="75" t="str">
        <f aca="false">IF(L91="","",IF((IF(F62="",IF($D$35="",0,$D$35),F62))=0,0,MAX(0,2692008.78-(IF(F63&lt;&gt;"",F63,IF($D$37&lt;&gt;"",$D$37,IF((IF(F62="",IF($D$35="",0,$D$35),F62))=0,0,F52/(IF(F62="",IF($D$35="",0,$D$35),F62)))))))*(IF(F62="",IF($D$35="",0,$D$35),F62))))</f>
        <v/>
      </c>
      <c r="N91" s="75" t="str">
        <f aca="false">IF(L91="","",L91+M91)</f>
        <v/>
      </c>
      <c r="O91" s="75" t="str">
        <f aca="false">IF(G52="","",IF(5&gt;IF(G55="",10,G55),"",G52*(1+IF(G53="",0,G53))^ROUNDDOWN((5-1)/IF(G54="",5,G54),0)))</f>
        <v/>
      </c>
      <c r="P91" s="75" t="str">
        <f aca="false">IF(O91="","",IF((IF(G62="",IF($D$35="",0,$D$35),G62))=0,0,MAX(0,2692008.78-(IF(G63&lt;&gt;"",G63,IF($D$37&lt;&gt;"",$D$37,IF((IF(G62="",IF($D$35="",0,$D$35),G62))=0,0,G52/(IF(G62="",IF($D$35="",0,$D$35),G62)))))))*(IF(G62="",IF($D$35="",0,$D$35),G62))))</f>
        <v/>
      </c>
      <c r="Q91" s="75" t="str">
        <f aca="false">IF(O91="","",O91+P91)</f>
        <v/>
      </c>
      <c r="R91" s="75" t="str">
        <f aca="false">IF(H52="","",IF(5&gt;IF(H55="",10,H55),"",H52*(1+IF(H53="",0,H53))^ROUNDDOWN((5-1)/IF(H54="",5,H54),0)))</f>
        <v/>
      </c>
      <c r="S91" s="75" t="str">
        <f aca="false">IF(R91="","",IF((IF(H62="",IF($D$35="",0,$D$35),H62))=0,0,MAX(0,2692008.78-(IF(H63&lt;&gt;"",H63,IF($D$37&lt;&gt;"",$D$37,IF((IF(H62="",IF($D$35="",0,$D$35),H62))=0,0,H52/(IF(H62="",IF($D$35="",0,$D$35),H62)))))))*(IF(H62="",IF($D$35="",0,$D$35),H62))))</f>
        <v/>
      </c>
      <c r="T91" s="75" t="str">
        <f aca="false">IF(R91="","",R91+S91)</f>
        <v/>
      </c>
    </row>
    <row r="92" customFormat="false" ht="15" hidden="false" customHeight="false" outlineLevel="0" collapsed="false">
      <c r="A92" s="74" t="n">
        <v>6</v>
      </c>
      <c r="B92" s="75" t="n">
        <v>2745849</v>
      </c>
      <c r="C92" s="76" t="n">
        <v>139392</v>
      </c>
      <c r="D92" s="76" t="n">
        <v>0</v>
      </c>
      <c r="E92" s="76" t="n">
        <v>139392</v>
      </c>
      <c r="F92" s="75" t="n">
        <f aca="false">IF(D52="","",IF(6&gt;IF(D55="",10,D55),"",D52*(1+IF(D53="",0,D53))^ROUNDDOWN((6-1)/IF(D54="",5,D54),0)))</f>
        <v>142179.84</v>
      </c>
      <c r="G92" s="75" t="n">
        <f aca="false">IF(F92="","",IF((IF(D62="",IF($D$35="",0,$D$35),D62))=0,0,MAX(0,2745848.96-(IF(D63&lt;&gt;"",D63,IF($D$37&lt;&gt;"",$D$37,IF((IF(D62="",IF($D$35="",0,$D$35),D62))=0,0,D52/(IF(D62="",IF($D$35="",0,$D$35),D62)))))))*(IF(D62="",IF($D$35="",0,$D$35),D62))))</f>
        <v>0</v>
      </c>
      <c r="H92" s="75" t="n">
        <f aca="false">IF(F92="","",F92+G92)</f>
        <v>142179.84</v>
      </c>
      <c r="I92" s="75" t="str">
        <f aca="false">IF(E52="","",IF(6&gt;IF(E55="",10,E55),"",E52*(1+IF(E53="",0,E53))^ROUNDDOWN((6-1)/IF(E54="",5,E54),0)))</f>
        <v/>
      </c>
      <c r="J92" s="75" t="str">
        <f aca="false">IF(I92="","",IF((IF(E62="",IF($D$35="",0,$D$35),E62))=0,0,MAX(0,2745848.96-(IF(E63&lt;&gt;"",E63,IF($D$37&lt;&gt;"",$D$37,IF((IF(E62="",IF($D$35="",0,$D$35),E62))=0,0,E52/(IF(E62="",IF($D$35="",0,$D$35),E62)))))))*(IF(E62="",IF($D$35="",0,$D$35),E62))))</f>
        <v/>
      </c>
      <c r="K92" s="75" t="str">
        <f aca="false">IF(I92="","",I92+J92)</f>
        <v/>
      </c>
      <c r="L92" s="75" t="str">
        <f aca="false">IF(F52="","",IF(6&gt;IF(F55="",10,F55),"",F52*(1+IF(F53="",0,F53))^ROUNDDOWN((6-1)/IF(F54="",5,F54),0)))</f>
        <v/>
      </c>
      <c r="M92" s="75" t="str">
        <f aca="false">IF(L92="","",IF((IF(F62="",IF($D$35="",0,$D$35),F62))=0,0,MAX(0,2745848.96-(IF(F63&lt;&gt;"",F63,IF($D$37&lt;&gt;"",$D$37,IF((IF(F62="",IF($D$35="",0,$D$35),F62))=0,0,F52/(IF(F62="",IF($D$35="",0,$D$35),F62)))))))*(IF(F62="",IF($D$35="",0,$D$35),F62))))</f>
        <v/>
      </c>
      <c r="N92" s="75" t="str">
        <f aca="false">IF(L92="","",L92+M92)</f>
        <v/>
      </c>
      <c r="O92" s="75" t="str">
        <f aca="false">IF(G52="","",IF(6&gt;IF(G55="",10,G55),"",G52*(1+IF(G53="",0,G53))^ROUNDDOWN((6-1)/IF(G54="",5,G54),0)))</f>
        <v/>
      </c>
      <c r="P92" s="75" t="str">
        <f aca="false">IF(O92="","",IF((IF(G62="",IF($D$35="",0,$D$35),G62))=0,0,MAX(0,2745848.96-(IF(G63&lt;&gt;"",G63,IF($D$37&lt;&gt;"",$D$37,IF((IF(G62="",IF($D$35="",0,$D$35),G62))=0,0,G52/(IF(G62="",IF($D$35="",0,$D$35),G62)))))))*(IF(G62="",IF($D$35="",0,$D$35),G62))))</f>
        <v/>
      </c>
      <c r="Q92" s="75" t="str">
        <f aca="false">IF(O92="","",O92+P92)</f>
        <v/>
      </c>
      <c r="R92" s="75" t="str">
        <f aca="false">IF(H52="","",IF(6&gt;IF(H55="",10,H55),"",H52*(1+IF(H53="",0,H53))^ROUNDDOWN((6-1)/IF(H54="",5,H54),0)))</f>
        <v/>
      </c>
      <c r="S92" s="75" t="str">
        <f aca="false">IF(R92="","",IF((IF(H62="",IF($D$35="",0,$D$35),H62))=0,0,MAX(0,2745848.96-(IF(H63&lt;&gt;"",H63,IF($D$37&lt;&gt;"",$D$37,IF((IF(H62="",IF($D$35="",0,$D$35),H62))=0,0,H52/(IF(H62="",IF($D$35="",0,$D$35),H62)))))))*(IF(H62="",IF($D$35="",0,$D$35),H62))))</f>
        <v/>
      </c>
      <c r="T92" s="75" t="str">
        <f aca="false">IF(R92="","",R92+S92)</f>
        <v/>
      </c>
    </row>
    <row r="93" customFormat="false" ht="15" hidden="false" customHeight="false" outlineLevel="0" collapsed="false">
      <c r="A93" s="74" t="n">
        <v>7</v>
      </c>
      <c r="B93" s="75" t="n">
        <v>2800766</v>
      </c>
      <c r="C93" s="76" t="n">
        <v>139392</v>
      </c>
      <c r="D93" s="76" t="n">
        <v>0</v>
      </c>
      <c r="E93" s="76" t="n">
        <v>139392</v>
      </c>
      <c r="F93" s="75" t="n">
        <f aca="false">IF(D52="","",IF(7&gt;IF(D55="",10,D55),"",D52*(1+IF(D53="",0,D53))^ROUNDDOWN((7-1)/IF(D54="",5,D54),0)))</f>
        <v>142179.84</v>
      </c>
      <c r="G93" s="75" t="n">
        <f aca="false">IF(F93="","",IF((IF(D62="",IF($D$35="",0,$D$35),D62))=0,0,MAX(0,2800765.94-(IF(D63&lt;&gt;"",D63,IF($D$37&lt;&gt;"",$D$37,IF((IF(D62="",IF($D$35="",0,$D$35),D62))=0,0,D52/(IF(D62="",IF($D$35="",0,$D$35),D62)))))))*(IF(D62="",IF($D$35="",0,$D$35),D62))))</f>
        <v>0</v>
      </c>
      <c r="H93" s="75" t="n">
        <f aca="false">IF(F93="","",F93+G93)</f>
        <v>142179.84</v>
      </c>
      <c r="I93" s="75" t="str">
        <f aca="false">IF(E52="","",IF(7&gt;IF(E55="",10,E55),"",E52*(1+IF(E53="",0,E53))^ROUNDDOWN((7-1)/IF(E54="",5,E54),0)))</f>
        <v/>
      </c>
      <c r="J93" s="75" t="str">
        <f aca="false">IF(I93="","",IF((IF(E62="",IF($D$35="",0,$D$35),E62))=0,0,MAX(0,2800765.94-(IF(E63&lt;&gt;"",E63,IF($D$37&lt;&gt;"",$D$37,IF((IF(E62="",IF($D$35="",0,$D$35),E62))=0,0,E52/(IF(E62="",IF($D$35="",0,$D$35),E62)))))))*(IF(E62="",IF($D$35="",0,$D$35),E62))))</f>
        <v/>
      </c>
      <c r="K93" s="75" t="str">
        <f aca="false">IF(I93="","",I93+J93)</f>
        <v/>
      </c>
      <c r="L93" s="75" t="str">
        <f aca="false">IF(F52="","",IF(7&gt;IF(F55="",10,F55),"",F52*(1+IF(F53="",0,F53))^ROUNDDOWN((7-1)/IF(F54="",5,F54),0)))</f>
        <v/>
      </c>
      <c r="M93" s="75" t="str">
        <f aca="false">IF(L93="","",IF((IF(F62="",IF($D$35="",0,$D$35),F62))=0,0,MAX(0,2800765.94-(IF(F63&lt;&gt;"",F63,IF($D$37&lt;&gt;"",$D$37,IF((IF(F62="",IF($D$35="",0,$D$35),F62))=0,0,F52/(IF(F62="",IF($D$35="",0,$D$35),F62)))))))*(IF(F62="",IF($D$35="",0,$D$35),F62))))</f>
        <v/>
      </c>
      <c r="N93" s="75" t="str">
        <f aca="false">IF(L93="","",L93+M93)</f>
        <v/>
      </c>
      <c r="O93" s="75" t="str">
        <f aca="false">IF(G52="","",IF(7&gt;IF(G55="",10,G55),"",G52*(1+IF(G53="",0,G53))^ROUNDDOWN((7-1)/IF(G54="",5,G54),0)))</f>
        <v/>
      </c>
      <c r="P93" s="75" t="str">
        <f aca="false">IF(O93="","",IF((IF(G62="",IF($D$35="",0,$D$35),G62))=0,0,MAX(0,2800765.94-(IF(G63&lt;&gt;"",G63,IF($D$37&lt;&gt;"",$D$37,IF((IF(G62="",IF($D$35="",0,$D$35),G62))=0,0,G52/(IF(G62="",IF($D$35="",0,$D$35),G62)))))))*(IF(G62="",IF($D$35="",0,$D$35),G62))))</f>
        <v/>
      </c>
      <c r="Q93" s="75" t="str">
        <f aca="false">IF(O93="","",O93+P93)</f>
        <v/>
      </c>
      <c r="R93" s="75" t="str">
        <f aca="false">IF(H52="","",IF(7&gt;IF(H55="",10,H55),"",H52*(1+IF(H53="",0,H53))^ROUNDDOWN((7-1)/IF(H54="",5,H54),0)))</f>
        <v/>
      </c>
      <c r="S93" s="75" t="str">
        <f aca="false">IF(R93="","",IF((IF(H62="",IF($D$35="",0,$D$35),H62))=0,0,MAX(0,2800765.94-(IF(H63&lt;&gt;"",H63,IF($D$37&lt;&gt;"",$D$37,IF((IF(H62="",IF($D$35="",0,$D$35),H62))=0,0,H52/(IF(H62="",IF($D$35="",0,$D$35),H62)))))))*(IF(H62="",IF($D$35="",0,$D$35),H62))))</f>
        <v/>
      </c>
      <c r="T93" s="75" t="str">
        <f aca="false">IF(R93="","",R93+S93)</f>
        <v/>
      </c>
    </row>
    <row r="94" customFormat="false" ht="15" hidden="false" customHeight="false" outlineLevel="0" collapsed="false">
      <c r="A94" s="74" t="n">
        <v>8</v>
      </c>
      <c r="B94" s="75" t="n">
        <v>2856781</v>
      </c>
      <c r="C94" s="76" t="n">
        <v>139392</v>
      </c>
      <c r="D94" s="76" t="n">
        <v>0</v>
      </c>
      <c r="E94" s="76" t="n">
        <v>139392</v>
      </c>
      <c r="F94" s="75" t="n">
        <f aca="false">IF(D52="","",IF(8&gt;IF(D55="",10,D55),"",D52*(1+IF(D53="",0,D53))^ROUNDDOWN((8-1)/IF(D54="",5,D54),0)))</f>
        <v>142179.84</v>
      </c>
      <c r="G94" s="75" t="n">
        <f aca="false">IF(F94="","",IF((IF(D62="",IF($D$35="",0,$D$35),D62))=0,0,MAX(0,2856781.26-(IF(D63&lt;&gt;"",D63,IF($D$37&lt;&gt;"",$D$37,IF((IF(D62="",IF($D$35="",0,$D$35),D62))=0,0,D52/(IF(D62="",IF($D$35="",0,$D$35),D62)))))))*(IF(D62="",IF($D$35="",0,$D$35),D62))))</f>
        <v>0</v>
      </c>
      <c r="H94" s="75" t="n">
        <f aca="false">IF(F94="","",F94+G94)</f>
        <v>142179.84</v>
      </c>
      <c r="I94" s="75" t="str">
        <f aca="false">IF(E52="","",IF(8&gt;IF(E55="",10,E55),"",E52*(1+IF(E53="",0,E53))^ROUNDDOWN((8-1)/IF(E54="",5,E54),0)))</f>
        <v/>
      </c>
      <c r="J94" s="75" t="str">
        <f aca="false">IF(I94="","",IF((IF(E62="",IF($D$35="",0,$D$35),E62))=0,0,MAX(0,2856781.26-(IF(E63&lt;&gt;"",E63,IF($D$37&lt;&gt;"",$D$37,IF((IF(E62="",IF($D$35="",0,$D$35),E62))=0,0,E52/(IF(E62="",IF($D$35="",0,$D$35),E62)))))))*(IF(E62="",IF($D$35="",0,$D$35),E62))))</f>
        <v/>
      </c>
      <c r="K94" s="75" t="str">
        <f aca="false">IF(I94="","",I94+J94)</f>
        <v/>
      </c>
      <c r="L94" s="75" t="str">
        <f aca="false">IF(F52="","",IF(8&gt;IF(F55="",10,F55),"",F52*(1+IF(F53="",0,F53))^ROUNDDOWN((8-1)/IF(F54="",5,F54),0)))</f>
        <v/>
      </c>
      <c r="M94" s="75" t="str">
        <f aca="false">IF(L94="","",IF((IF(F62="",IF($D$35="",0,$D$35),F62))=0,0,MAX(0,2856781.26-(IF(F63&lt;&gt;"",F63,IF($D$37&lt;&gt;"",$D$37,IF((IF(F62="",IF($D$35="",0,$D$35),F62))=0,0,F52/(IF(F62="",IF($D$35="",0,$D$35),F62)))))))*(IF(F62="",IF($D$35="",0,$D$35),F62))))</f>
        <v/>
      </c>
      <c r="N94" s="75" t="str">
        <f aca="false">IF(L94="","",L94+M94)</f>
        <v/>
      </c>
      <c r="O94" s="75" t="str">
        <f aca="false">IF(G52="","",IF(8&gt;IF(G55="",10,G55),"",G52*(1+IF(G53="",0,G53))^ROUNDDOWN((8-1)/IF(G54="",5,G54),0)))</f>
        <v/>
      </c>
      <c r="P94" s="75" t="str">
        <f aca="false">IF(O94="","",IF((IF(G62="",IF($D$35="",0,$D$35),G62))=0,0,MAX(0,2856781.26-(IF(G63&lt;&gt;"",G63,IF($D$37&lt;&gt;"",$D$37,IF((IF(G62="",IF($D$35="",0,$D$35),G62))=0,0,G52/(IF(G62="",IF($D$35="",0,$D$35),G62)))))))*(IF(G62="",IF($D$35="",0,$D$35),G62))))</f>
        <v/>
      </c>
      <c r="Q94" s="75" t="str">
        <f aca="false">IF(O94="","",O94+P94)</f>
        <v/>
      </c>
      <c r="R94" s="75" t="str">
        <f aca="false">IF(H52="","",IF(8&gt;IF(H55="",10,H55),"",H52*(1+IF(H53="",0,H53))^ROUNDDOWN((8-1)/IF(H54="",5,H54),0)))</f>
        <v/>
      </c>
      <c r="S94" s="75" t="str">
        <f aca="false">IF(R94="","",IF((IF(H62="",IF($D$35="",0,$D$35),H62))=0,0,MAX(0,2856781.26-(IF(H63&lt;&gt;"",H63,IF($D$37&lt;&gt;"",$D$37,IF((IF(H62="",IF($D$35="",0,$D$35),H62))=0,0,H52/(IF(H62="",IF($D$35="",0,$D$35),H62)))))))*(IF(H62="",IF($D$35="",0,$D$35),H62))))</f>
        <v/>
      </c>
      <c r="T94" s="75" t="str">
        <f aca="false">IF(R94="","",R94+S94)</f>
        <v/>
      </c>
    </row>
    <row r="95" customFormat="false" ht="15" hidden="false" customHeight="false" outlineLevel="0" collapsed="false">
      <c r="A95" s="74" t="n">
        <v>9</v>
      </c>
      <c r="B95" s="75" t="n">
        <v>2913917</v>
      </c>
      <c r="C95" s="76" t="n">
        <v>139392</v>
      </c>
      <c r="D95" s="76" t="n">
        <v>0</v>
      </c>
      <c r="E95" s="76" t="n">
        <v>139392</v>
      </c>
      <c r="F95" s="75" t="n">
        <f aca="false">IF(D52="","",IF(9&gt;IF(D55="",10,D55),"",D52*(1+IF(D53="",0,D53))^ROUNDDOWN((9-1)/IF(D54="",5,D54),0)))</f>
        <v>142179.84</v>
      </c>
      <c r="G95" s="75" t="n">
        <f aca="false">IF(F95="","",IF((IF(D62="",IF($D$35="",0,$D$35),D62))=0,0,MAX(0,2913916.88-(IF(D63&lt;&gt;"",D63,IF($D$37&lt;&gt;"",$D$37,IF((IF(D62="",IF($D$35="",0,$D$35),D62))=0,0,D52/(IF(D62="",IF($D$35="",0,$D$35),D62)))))))*(IF(D62="",IF($D$35="",0,$D$35),D62))))</f>
        <v>0</v>
      </c>
      <c r="H95" s="75" t="n">
        <f aca="false">IF(F95="","",F95+G95)</f>
        <v>142179.84</v>
      </c>
      <c r="I95" s="75" t="str">
        <f aca="false">IF(E52="","",IF(9&gt;IF(E55="",10,E55),"",E52*(1+IF(E53="",0,E53))^ROUNDDOWN((9-1)/IF(E54="",5,E54),0)))</f>
        <v/>
      </c>
      <c r="J95" s="75" t="str">
        <f aca="false">IF(I95="","",IF((IF(E62="",IF($D$35="",0,$D$35),E62))=0,0,MAX(0,2913916.88-(IF(E63&lt;&gt;"",E63,IF($D$37&lt;&gt;"",$D$37,IF((IF(E62="",IF($D$35="",0,$D$35),E62))=0,0,E52/(IF(E62="",IF($D$35="",0,$D$35),E62)))))))*(IF(E62="",IF($D$35="",0,$D$35),E62))))</f>
        <v/>
      </c>
      <c r="K95" s="75" t="str">
        <f aca="false">IF(I95="","",I95+J95)</f>
        <v/>
      </c>
      <c r="L95" s="75" t="str">
        <f aca="false">IF(F52="","",IF(9&gt;IF(F55="",10,F55),"",F52*(1+IF(F53="",0,F53))^ROUNDDOWN((9-1)/IF(F54="",5,F54),0)))</f>
        <v/>
      </c>
      <c r="M95" s="75" t="str">
        <f aca="false">IF(L95="","",IF((IF(F62="",IF($D$35="",0,$D$35),F62))=0,0,MAX(0,2913916.88-(IF(F63&lt;&gt;"",F63,IF($D$37&lt;&gt;"",$D$37,IF((IF(F62="",IF($D$35="",0,$D$35),F62))=0,0,F52/(IF(F62="",IF($D$35="",0,$D$35),F62)))))))*(IF(F62="",IF($D$35="",0,$D$35),F62))))</f>
        <v/>
      </c>
      <c r="N95" s="75" t="str">
        <f aca="false">IF(L95="","",L95+M95)</f>
        <v/>
      </c>
      <c r="O95" s="75" t="str">
        <f aca="false">IF(G52="","",IF(9&gt;IF(G55="",10,G55),"",G52*(1+IF(G53="",0,G53))^ROUNDDOWN((9-1)/IF(G54="",5,G54),0)))</f>
        <v/>
      </c>
      <c r="P95" s="75" t="str">
        <f aca="false">IF(O95="","",IF((IF(G62="",IF($D$35="",0,$D$35),G62))=0,0,MAX(0,2913916.88-(IF(G63&lt;&gt;"",G63,IF($D$37&lt;&gt;"",$D$37,IF((IF(G62="",IF($D$35="",0,$D$35),G62))=0,0,G52/(IF(G62="",IF($D$35="",0,$D$35),G62)))))))*(IF(G62="",IF($D$35="",0,$D$35),G62))))</f>
        <v/>
      </c>
      <c r="Q95" s="75" t="str">
        <f aca="false">IF(O95="","",O95+P95)</f>
        <v/>
      </c>
      <c r="R95" s="75" t="str">
        <f aca="false">IF(H52="","",IF(9&gt;IF(H55="",10,H55),"",H52*(1+IF(H53="",0,H53))^ROUNDDOWN((9-1)/IF(H54="",5,H54),0)))</f>
        <v/>
      </c>
      <c r="S95" s="75" t="str">
        <f aca="false">IF(R95="","",IF((IF(H62="",IF($D$35="",0,$D$35),H62))=0,0,MAX(0,2913916.88-(IF(H63&lt;&gt;"",H63,IF($D$37&lt;&gt;"",$D$37,IF((IF(H62="",IF($D$35="",0,$D$35),H62))=0,0,H52/(IF(H62="",IF($D$35="",0,$D$35),H62)))))))*(IF(H62="",IF($D$35="",0,$D$35),H62))))</f>
        <v/>
      </c>
      <c r="T95" s="75" t="str">
        <f aca="false">IF(R95="","",R95+S95)</f>
        <v/>
      </c>
    </row>
    <row r="96" customFormat="false" ht="15" hidden="false" customHeight="false" outlineLevel="0" collapsed="false">
      <c r="A96" s="74" t="n">
        <v>10</v>
      </c>
      <c r="B96" s="75" t="n">
        <v>2972195</v>
      </c>
      <c r="C96" s="76" t="n">
        <v>139392</v>
      </c>
      <c r="D96" s="76" t="n">
        <v>0</v>
      </c>
      <c r="E96" s="76" t="n">
        <v>139392</v>
      </c>
      <c r="F96" s="75" t="n">
        <f aca="false">IF(D52="","",IF(10&gt;IF(D55="",10,D55),"",D52*(1+IF(D53="",0,D53))^ROUNDDOWN((10-1)/IF(D54="",5,D54),0)))</f>
        <v>142179.84</v>
      </c>
      <c r="G96" s="75" t="n">
        <f aca="false">IF(F96="","",IF((IF(D62="",IF($D$35="",0,$D$35),D62))=0,0,MAX(0,2972195.22-(IF(D63&lt;&gt;"",D63,IF($D$37&lt;&gt;"",$D$37,IF((IF(D62="",IF($D$35="",0,$D$35),D62))=0,0,D52/(IF(D62="",IF($D$35="",0,$D$35),D62)))))))*(IF(D62="",IF($D$35="",0,$D$35),D62))))</f>
        <v>0</v>
      </c>
      <c r="H96" s="75" t="n">
        <f aca="false">IF(F96="","",F96+G96)</f>
        <v>142179.84</v>
      </c>
      <c r="I96" s="75" t="str">
        <f aca="false">IF(E52="","",IF(10&gt;IF(E55="",10,E55),"",E52*(1+IF(E53="",0,E53))^ROUNDDOWN((10-1)/IF(E54="",5,E54),0)))</f>
        <v/>
      </c>
      <c r="J96" s="75" t="str">
        <f aca="false">IF(I96="","",IF((IF(E62="",IF($D$35="",0,$D$35),E62))=0,0,MAX(0,2972195.22-(IF(E63&lt;&gt;"",E63,IF($D$37&lt;&gt;"",$D$37,IF((IF(E62="",IF($D$35="",0,$D$35),E62))=0,0,E52/(IF(E62="",IF($D$35="",0,$D$35),E62)))))))*(IF(E62="",IF($D$35="",0,$D$35),E62))))</f>
        <v/>
      </c>
      <c r="K96" s="75" t="str">
        <f aca="false">IF(I96="","",I96+J96)</f>
        <v/>
      </c>
      <c r="L96" s="75" t="str">
        <f aca="false">IF(F52="","",IF(10&gt;IF(F55="",10,F55),"",F52*(1+IF(F53="",0,F53))^ROUNDDOWN((10-1)/IF(F54="",5,F54),0)))</f>
        <v/>
      </c>
      <c r="M96" s="75" t="str">
        <f aca="false">IF(L96="","",IF((IF(F62="",IF($D$35="",0,$D$35),F62))=0,0,MAX(0,2972195.22-(IF(F63&lt;&gt;"",F63,IF($D$37&lt;&gt;"",$D$37,IF((IF(F62="",IF($D$35="",0,$D$35),F62))=0,0,F52/(IF(F62="",IF($D$35="",0,$D$35),F62)))))))*(IF(F62="",IF($D$35="",0,$D$35),F62))))</f>
        <v/>
      </c>
      <c r="N96" s="75" t="str">
        <f aca="false">IF(L96="","",L96+M96)</f>
        <v/>
      </c>
      <c r="O96" s="75" t="str">
        <f aca="false">IF(G52="","",IF(10&gt;IF(G55="",10,G55),"",G52*(1+IF(G53="",0,G53))^ROUNDDOWN((10-1)/IF(G54="",5,G54),0)))</f>
        <v/>
      </c>
      <c r="P96" s="75" t="str">
        <f aca="false">IF(O96="","",IF((IF(G62="",IF($D$35="",0,$D$35),G62))=0,0,MAX(0,2972195.22-(IF(G63&lt;&gt;"",G63,IF($D$37&lt;&gt;"",$D$37,IF((IF(G62="",IF($D$35="",0,$D$35),G62))=0,0,G52/(IF(G62="",IF($D$35="",0,$D$35),G62)))))))*(IF(G62="",IF($D$35="",0,$D$35),G62))))</f>
        <v/>
      </c>
      <c r="Q96" s="75" t="str">
        <f aca="false">IF(O96="","",O96+P96)</f>
        <v/>
      </c>
      <c r="R96" s="75" t="str">
        <f aca="false">IF(H52="","",IF(10&gt;IF(H55="",10,H55),"",H52*(1+IF(H53="",0,H53))^ROUNDDOWN((10-1)/IF(H54="",5,H54),0)))</f>
        <v/>
      </c>
      <c r="S96" s="75" t="str">
        <f aca="false">IF(R96="","",IF((IF(H62="",IF($D$35="",0,$D$35),H62))=0,0,MAX(0,2972195.22-(IF(H63&lt;&gt;"",H63,IF($D$37&lt;&gt;"",$D$37,IF((IF(H62="",IF($D$35="",0,$D$35),H62))=0,0,H52/(IF(H62="",IF($D$35="",0,$D$35),H62)))))))*(IF(H62="",IF($D$35="",0,$D$35),H62))))</f>
        <v/>
      </c>
      <c r="T96" s="75" t="str">
        <f aca="false">IF(R96="","",R96+S96)</f>
        <v/>
      </c>
    </row>
    <row r="97" customFormat="false" ht="15" hidden="false" customHeight="false" outlineLevel="0" collapsed="false">
      <c r="A97" s="74" t="n">
        <v>11</v>
      </c>
      <c r="B97" s="75" t="n">
        <v>3031639</v>
      </c>
      <c r="C97" s="76" t="n">
        <v>139392</v>
      </c>
      <c r="D97" s="76" t="n">
        <v>0</v>
      </c>
      <c r="E97" s="76" t="n">
        <v>139392</v>
      </c>
      <c r="F97" s="75" t="n">
        <f aca="false">IF(D52="","",IF(11&gt;IF(D55="",10,D55),"",D52*(1+IF(D53="",0,D53))^ROUNDDOWN((11-1)/IF(D54="",5,D54),0)))</f>
        <v>145023.4368</v>
      </c>
      <c r="G97" s="75" t="n">
        <f aca="false">IF(F97="","",IF((IF(D62="",IF($D$35="",0,$D$35),D62))=0,0,MAX(0,3031639.12-(IF(D63&lt;&gt;"",D63,IF($D$37&lt;&gt;"",$D$37,IF((IF(D62="",IF($D$35="",0,$D$35),D62))=0,0,D52/(IF(D62="",IF($D$35="",0,$D$35),D62)))))))*(IF(D62="",IF($D$35="",0,$D$35),D62))))</f>
        <v>0</v>
      </c>
      <c r="H97" s="75" t="n">
        <f aca="false">IF(F97="","",F97+G97)</f>
        <v>145023.4368</v>
      </c>
      <c r="I97" s="75" t="str">
        <f aca="false">IF(E52="","",IF(11&gt;IF(E55="",10,E55),"",E52*(1+IF(E53="",0,E53))^ROUNDDOWN((11-1)/IF(E54="",5,E54),0)))</f>
        <v/>
      </c>
      <c r="J97" s="75" t="str">
        <f aca="false">IF(I97="","",IF((IF(E62="",IF($D$35="",0,$D$35),E62))=0,0,MAX(0,3031639.12-(IF(E63&lt;&gt;"",E63,IF($D$37&lt;&gt;"",$D$37,IF((IF(E62="",IF($D$35="",0,$D$35),E62))=0,0,E52/(IF(E62="",IF($D$35="",0,$D$35),E62)))))))*(IF(E62="",IF($D$35="",0,$D$35),E62))))</f>
        <v/>
      </c>
      <c r="K97" s="75" t="str">
        <f aca="false">IF(I97="","",I97+J97)</f>
        <v/>
      </c>
      <c r="L97" s="75" t="str">
        <f aca="false">IF(F52="","",IF(11&gt;IF(F55="",10,F55),"",F52*(1+IF(F53="",0,F53))^ROUNDDOWN((11-1)/IF(F54="",5,F54),0)))</f>
        <v/>
      </c>
      <c r="M97" s="75" t="str">
        <f aca="false">IF(L97="","",IF((IF(F62="",IF($D$35="",0,$D$35),F62))=0,0,MAX(0,3031639.12-(IF(F63&lt;&gt;"",F63,IF($D$37&lt;&gt;"",$D$37,IF((IF(F62="",IF($D$35="",0,$D$35),F62))=0,0,F52/(IF(F62="",IF($D$35="",0,$D$35),F62)))))))*(IF(F62="",IF($D$35="",0,$D$35),F62))))</f>
        <v/>
      </c>
      <c r="N97" s="75" t="str">
        <f aca="false">IF(L97="","",L97+M97)</f>
        <v/>
      </c>
      <c r="O97" s="75" t="str">
        <f aca="false">IF(G52="","",IF(11&gt;IF(G55="",10,G55),"",G52*(1+IF(G53="",0,G53))^ROUNDDOWN((11-1)/IF(G54="",5,G54),0)))</f>
        <v/>
      </c>
      <c r="P97" s="75" t="str">
        <f aca="false">IF(O97="","",IF((IF(G62="",IF($D$35="",0,$D$35),G62))=0,0,MAX(0,3031639.12-(IF(G63&lt;&gt;"",G63,IF($D$37&lt;&gt;"",$D$37,IF((IF(G62="",IF($D$35="",0,$D$35),G62))=0,0,G52/(IF(G62="",IF($D$35="",0,$D$35),G62)))))))*(IF(G62="",IF($D$35="",0,$D$35),G62))))</f>
        <v/>
      </c>
      <c r="Q97" s="75" t="str">
        <f aca="false">IF(O97="","",O97+P97)</f>
        <v/>
      </c>
      <c r="R97" s="75" t="str">
        <f aca="false">IF(H52="","",IF(11&gt;IF(H55="",10,H55),"",H52*(1+IF(H53="",0,H53))^ROUNDDOWN((11-1)/IF(H54="",5,H54),0)))</f>
        <v/>
      </c>
      <c r="S97" s="75" t="str">
        <f aca="false">IF(R97="","",IF((IF(H62="",IF($D$35="",0,$D$35),H62))=0,0,MAX(0,3031639.12-(IF(H63&lt;&gt;"",H63,IF($D$37&lt;&gt;"",$D$37,IF((IF(H62="",IF($D$35="",0,$D$35),H62))=0,0,H52/(IF(H62="",IF($D$35="",0,$D$35),H62)))))))*(IF(H62="",IF($D$35="",0,$D$35),H62))))</f>
        <v/>
      </c>
      <c r="T97" s="75" t="str">
        <f aca="false">IF(R97="","",R97+S97)</f>
        <v/>
      </c>
    </row>
    <row r="98" customFormat="false" ht="15" hidden="false" customHeight="false" outlineLevel="0" collapsed="false">
      <c r="A98" s="74" t="n">
        <v>12</v>
      </c>
      <c r="B98" s="75" t="n">
        <v>3092272</v>
      </c>
      <c r="C98" s="76" t="n">
        <v>139392</v>
      </c>
      <c r="D98" s="76" t="n">
        <v>0</v>
      </c>
      <c r="E98" s="76" t="n">
        <v>139392</v>
      </c>
      <c r="F98" s="75" t="n">
        <f aca="false">IF(D52="","",IF(12&gt;IF(D55="",10,D55),"",D52*(1+IF(D53="",0,D53))^ROUNDDOWN((12-1)/IF(D54="",5,D54),0)))</f>
        <v>145023.4368</v>
      </c>
      <c r="G98" s="75" t="n">
        <f aca="false">IF(F98="","",IF((IF(D62="",IF($D$35="",0,$D$35),D62))=0,0,MAX(0,3092271.9-(IF(D63&lt;&gt;"",D63,IF($D$37&lt;&gt;"",$D$37,IF((IF(D62="",IF($D$35="",0,$D$35),D62))=0,0,D52/(IF(D62="",IF($D$35="",0,$D$35),D62)))))))*(IF(D62="",IF($D$35="",0,$D$35),D62))))</f>
        <v>0</v>
      </c>
      <c r="H98" s="75" t="n">
        <f aca="false">IF(F98="","",F98+G98)</f>
        <v>145023.4368</v>
      </c>
      <c r="I98" s="75" t="str">
        <f aca="false">IF(E52="","",IF(12&gt;IF(E55="",10,E55),"",E52*(1+IF(E53="",0,E53))^ROUNDDOWN((12-1)/IF(E54="",5,E54),0)))</f>
        <v/>
      </c>
      <c r="J98" s="75" t="str">
        <f aca="false">IF(I98="","",IF((IF(E62="",IF($D$35="",0,$D$35),E62))=0,0,MAX(0,3092271.9-(IF(E63&lt;&gt;"",E63,IF($D$37&lt;&gt;"",$D$37,IF((IF(E62="",IF($D$35="",0,$D$35),E62))=0,0,E52/(IF(E62="",IF($D$35="",0,$D$35),E62)))))))*(IF(E62="",IF($D$35="",0,$D$35),E62))))</f>
        <v/>
      </c>
      <c r="K98" s="75" t="str">
        <f aca="false">IF(I98="","",I98+J98)</f>
        <v/>
      </c>
      <c r="L98" s="75" t="str">
        <f aca="false">IF(F52="","",IF(12&gt;IF(F55="",10,F55),"",F52*(1+IF(F53="",0,F53))^ROUNDDOWN((12-1)/IF(F54="",5,F54),0)))</f>
        <v/>
      </c>
      <c r="M98" s="75" t="str">
        <f aca="false">IF(L98="","",IF((IF(F62="",IF($D$35="",0,$D$35),F62))=0,0,MAX(0,3092271.9-(IF(F63&lt;&gt;"",F63,IF($D$37&lt;&gt;"",$D$37,IF((IF(F62="",IF($D$35="",0,$D$35),F62))=0,0,F52/(IF(F62="",IF($D$35="",0,$D$35),F62)))))))*(IF(F62="",IF($D$35="",0,$D$35),F62))))</f>
        <v/>
      </c>
      <c r="N98" s="75" t="str">
        <f aca="false">IF(L98="","",L98+M98)</f>
        <v/>
      </c>
      <c r="O98" s="75" t="str">
        <f aca="false">IF(G52="","",IF(12&gt;IF(G55="",10,G55),"",G52*(1+IF(G53="",0,G53))^ROUNDDOWN((12-1)/IF(G54="",5,G54),0)))</f>
        <v/>
      </c>
      <c r="P98" s="75" t="str">
        <f aca="false">IF(O98="","",IF((IF(G62="",IF($D$35="",0,$D$35),G62))=0,0,MAX(0,3092271.9-(IF(G63&lt;&gt;"",G63,IF($D$37&lt;&gt;"",$D$37,IF((IF(G62="",IF($D$35="",0,$D$35),G62))=0,0,G52/(IF(G62="",IF($D$35="",0,$D$35),G62)))))))*(IF(G62="",IF($D$35="",0,$D$35),G62))))</f>
        <v/>
      </c>
      <c r="Q98" s="75" t="str">
        <f aca="false">IF(O98="","",O98+P98)</f>
        <v/>
      </c>
      <c r="R98" s="75" t="str">
        <f aca="false">IF(H52="","",IF(12&gt;IF(H55="",10,H55),"",H52*(1+IF(H53="",0,H53))^ROUNDDOWN((12-1)/IF(H54="",5,H54),0)))</f>
        <v/>
      </c>
      <c r="S98" s="75" t="str">
        <f aca="false">IF(R98="","",IF((IF(H62="",IF($D$35="",0,$D$35),H62))=0,0,MAX(0,3092271.9-(IF(H63&lt;&gt;"",H63,IF($D$37&lt;&gt;"",$D$37,IF((IF(H62="",IF($D$35="",0,$D$35),H62))=0,0,H52/(IF(H62="",IF($D$35="",0,$D$35),H62)))))))*(IF(H62="",IF($D$35="",0,$D$35),H62))))</f>
        <v/>
      </c>
      <c r="T98" s="75" t="str">
        <f aca="false">IF(R98="","",R98+S98)</f>
        <v/>
      </c>
    </row>
    <row r="99" customFormat="false" ht="15" hidden="false" customHeight="false" outlineLevel="0" collapsed="false">
      <c r="A99" s="74" t="n">
        <v>13</v>
      </c>
      <c r="B99" s="75" t="n">
        <v>3154117</v>
      </c>
      <c r="C99" s="76" t="n">
        <v>139392</v>
      </c>
      <c r="D99" s="76" t="n">
        <v>0</v>
      </c>
      <c r="E99" s="76" t="n">
        <v>139392</v>
      </c>
      <c r="F99" s="75" t="n">
        <f aca="false">IF(D52="","",IF(13&gt;IF(D55="",10,D55),"",D52*(1+IF(D53="",0,D53))^ROUNDDOWN((13-1)/IF(D54="",5,D54),0)))</f>
        <v>145023.4368</v>
      </c>
      <c r="G99" s="75" t="n">
        <f aca="false">IF(F99="","",IF((IF(D62="",IF($D$35="",0,$D$35),D62))=0,0,MAX(0,3154117.34-(IF(D63&lt;&gt;"",D63,IF($D$37&lt;&gt;"",$D$37,IF((IF(D62="",IF($D$35="",0,$D$35),D62))=0,0,D52/(IF(D62="",IF($D$35="",0,$D$35),D62)))))))*(IF(D62="",IF($D$35="",0,$D$35),D62))))</f>
        <v>0</v>
      </c>
      <c r="H99" s="75" t="n">
        <f aca="false">IF(F99="","",F99+G99)</f>
        <v>145023.4368</v>
      </c>
      <c r="I99" s="75" t="str">
        <f aca="false">IF(E52="","",IF(13&gt;IF(E55="",10,E55),"",E52*(1+IF(E53="",0,E53))^ROUNDDOWN((13-1)/IF(E54="",5,E54),0)))</f>
        <v/>
      </c>
      <c r="J99" s="75" t="str">
        <f aca="false">IF(I99="","",IF((IF(E62="",IF($D$35="",0,$D$35),E62))=0,0,MAX(0,3154117.34-(IF(E63&lt;&gt;"",E63,IF($D$37&lt;&gt;"",$D$37,IF((IF(E62="",IF($D$35="",0,$D$35),E62))=0,0,E52/(IF(E62="",IF($D$35="",0,$D$35),E62)))))))*(IF(E62="",IF($D$35="",0,$D$35),E62))))</f>
        <v/>
      </c>
      <c r="K99" s="75" t="str">
        <f aca="false">IF(I99="","",I99+J99)</f>
        <v/>
      </c>
      <c r="L99" s="75" t="str">
        <f aca="false">IF(F52="","",IF(13&gt;IF(F55="",10,F55),"",F52*(1+IF(F53="",0,F53))^ROUNDDOWN((13-1)/IF(F54="",5,F54),0)))</f>
        <v/>
      </c>
      <c r="M99" s="75" t="str">
        <f aca="false">IF(L99="","",IF((IF(F62="",IF($D$35="",0,$D$35),F62))=0,0,MAX(0,3154117.34-(IF(F63&lt;&gt;"",F63,IF($D$37&lt;&gt;"",$D$37,IF((IF(F62="",IF($D$35="",0,$D$35),F62))=0,0,F52/(IF(F62="",IF($D$35="",0,$D$35),F62)))))))*(IF(F62="",IF($D$35="",0,$D$35),F62))))</f>
        <v/>
      </c>
      <c r="N99" s="75" t="str">
        <f aca="false">IF(L99="","",L99+M99)</f>
        <v/>
      </c>
      <c r="O99" s="75" t="str">
        <f aca="false">IF(G52="","",IF(13&gt;IF(G55="",10,G55),"",G52*(1+IF(G53="",0,G53))^ROUNDDOWN((13-1)/IF(G54="",5,G54),0)))</f>
        <v/>
      </c>
      <c r="P99" s="75" t="str">
        <f aca="false">IF(O99="","",IF((IF(G62="",IF($D$35="",0,$D$35),G62))=0,0,MAX(0,3154117.34-(IF(G63&lt;&gt;"",G63,IF($D$37&lt;&gt;"",$D$37,IF((IF(G62="",IF($D$35="",0,$D$35),G62))=0,0,G52/(IF(G62="",IF($D$35="",0,$D$35),G62)))))))*(IF(G62="",IF($D$35="",0,$D$35),G62))))</f>
        <v/>
      </c>
      <c r="Q99" s="75" t="str">
        <f aca="false">IF(O99="","",O99+P99)</f>
        <v/>
      </c>
      <c r="R99" s="75" t="str">
        <f aca="false">IF(H52="","",IF(13&gt;IF(H55="",10,H55),"",H52*(1+IF(H53="",0,H53))^ROUNDDOWN((13-1)/IF(H54="",5,H54),0)))</f>
        <v/>
      </c>
      <c r="S99" s="75" t="str">
        <f aca="false">IF(R99="","",IF((IF(H62="",IF($D$35="",0,$D$35),H62))=0,0,MAX(0,3154117.34-(IF(H63&lt;&gt;"",H63,IF($D$37&lt;&gt;"",$D$37,IF((IF(H62="",IF($D$35="",0,$D$35),H62))=0,0,H52/(IF(H62="",IF($D$35="",0,$D$35),H62)))))))*(IF(H62="",IF($D$35="",0,$D$35),H62))))</f>
        <v/>
      </c>
      <c r="T99" s="75" t="str">
        <f aca="false">IF(R99="","",R99+S99)</f>
        <v/>
      </c>
    </row>
    <row r="100" customFormat="false" ht="15" hidden="false" customHeight="false" outlineLevel="0" collapsed="false">
      <c r="A100" s="74" t="n">
        <v>14</v>
      </c>
      <c r="B100" s="75" t="n">
        <v>3217200</v>
      </c>
      <c r="C100" s="76" t="n">
        <v>139392</v>
      </c>
      <c r="D100" s="76" t="n">
        <v>0</v>
      </c>
      <c r="E100" s="76" t="n">
        <v>139392</v>
      </c>
      <c r="F100" s="75" t="n">
        <f aca="false">IF(D52="","",IF(14&gt;IF(D55="",10,D55),"",D52*(1+IF(D53="",0,D53))^ROUNDDOWN((14-1)/IF(D54="",5,D54),0)))</f>
        <v>145023.4368</v>
      </c>
      <c r="G100" s="75" t="n">
        <f aca="false">IF(F100="","",IF((IF(D62="",IF($D$35="",0,$D$35),D62))=0,0,MAX(0,3217199.69-(IF(D63&lt;&gt;"",D63,IF($D$37&lt;&gt;"",$D$37,IF((IF(D62="",IF($D$35="",0,$D$35),D62))=0,0,D52/(IF(D62="",IF($D$35="",0,$D$35),D62)))))))*(IF(D62="",IF($D$35="",0,$D$35),D62))))</f>
        <v>0</v>
      </c>
      <c r="H100" s="75" t="n">
        <f aca="false">IF(F100="","",F100+G100)</f>
        <v>145023.4368</v>
      </c>
      <c r="I100" s="75" t="str">
        <f aca="false">IF(E52="","",IF(14&gt;IF(E55="",10,E55),"",E52*(1+IF(E53="",0,E53))^ROUNDDOWN((14-1)/IF(E54="",5,E54),0)))</f>
        <v/>
      </c>
      <c r="J100" s="75" t="str">
        <f aca="false">IF(I100="","",IF((IF(E62="",IF($D$35="",0,$D$35),E62))=0,0,MAX(0,3217199.69-(IF(E63&lt;&gt;"",E63,IF($D$37&lt;&gt;"",$D$37,IF((IF(E62="",IF($D$35="",0,$D$35),E62))=0,0,E52/(IF(E62="",IF($D$35="",0,$D$35),E62)))))))*(IF(E62="",IF($D$35="",0,$D$35),E62))))</f>
        <v/>
      </c>
      <c r="K100" s="75" t="str">
        <f aca="false">IF(I100="","",I100+J100)</f>
        <v/>
      </c>
      <c r="L100" s="75" t="str">
        <f aca="false">IF(F52="","",IF(14&gt;IF(F55="",10,F55),"",F52*(1+IF(F53="",0,F53))^ROUNDDOWN((14-1)/IF(F54="",5,F54),0)))</f>
        <v/>
      </c>
      <c r="M100" s="75" t="str">
        <f aca="false">IF(L100="","",IF((IF(F62="",IF($D$35="",0,$D$35),F62))=0,0,MAX(0,3217199.69-(IF(F63&lt;&gt;"",F63,IF($D$37&lt;&gt;"",$D$37,IF((IF(F62="",IF($D$35="",0,$D$35),F62))=0,0,F52/(IF(F62="",IF($D$35="",0,$D$35),F62)))))))*(IF(F62="",IF($D$35="",0,$D$35),F62))))</f>
        <v/>
      </c>
      <c r="N100" s="75" t="str">
        <f aca="false">IF(L100="","",L100+M100)</f>
        <v/>
      </c>
      <c r="O100" s="75" t="str">
        <f aca="false">IF(G52="","",IF(14&gt;IF(G55="",10,G55),"",G52*(1+IF(G53="",0,G53))^ROUNDDOWN((14-1)/IF(G54="",5,G54),0)))</f>
        <v/>
      </c>
      <c r="P100" s="75" t="str">
        <f aca="false">IF(O100="","",IF((IF(G62="",IF($D$35="",0,$D$35),G62))=0,0,MAX(0,3217199.69-(IF(G63&lt;&gt;"",G63,IF($D$37&lt;&gt;"",$D$37,IF((IF(G62="",IF($D$35="",0,$D$35),G62))=0,0,G52/(IF(G62="",IF($D$35="",0,$D$35),G62)))))))*(IF(G62="",IF($D$35="",0,$D$35),G62))))</f>
        <v/>
      </c>
      <c r="Q100" s="75" t="str">
        <f aca="false">IF(O100="","",O100+P100)</f>
        <v/>
      </c>
      <c r="R100" s="75" t="str">
        <f aca="false">IF(H52="","",IF(14&gt;IF(H55="",10,H55),"",H52*(1+IF(H53="",0,H53))^ROUNDDOWN((14-1)/IF(H54="",5,H54),0)))</f>
        <v/>
      </c>
      <c r="S100" s="75" t="str">
        <f aca="false">IF(R100="","",IF((IF(H62="",IF($D$35="",0,$D$35),H62))=0,0,MAX(0,3217199.69-(IF(H63&lt;&gt;"",H63,IF($D$37&lt;&gt;"",$D$37,IF((IF(H62="",IF($D$35="",0,$D$35),H62))=0,0,H52/(IF(H62="",IF($D$35="",0,$D$35),H62)))))))*(IF(H62="",IF($D$35="",0,$D$35),H62))))</f>
        <v/>
      </c>
      <c r="T100" s="75" t="str">
        <f aca="false">IF(R100="","",R100+S100)</f>
        <v/>
      </c>
    </row>
    <row r="101" customFormat="false" ht="15" hidden="false" customHeight="false" outlineLevel="0" collapsed="false">
      <c r="A101" s="74" t="n">
        <v>15</v>
      </c>
      <c r="B101" s="75" t="n">
        <v>3281544</v>
      </c>
      <c r="C101" s="76" t="n">
        <v>139392</v>
      </c>
      <c r="D101" s="76" t="n">
        <v>0</v>
      </c>
      <c r="E101" s="76" t="n">
        <v>139392</v>
      </c>
      <c r="F101" s="75" t="n">
        <f aca="false">IF(D52="","",IF(15&gt;IF(D55="",10,D55),"",D52*(1+IF(D53="",0,D53))^ROUNDDOWN((15-1)/IF(D54="",5,D54),0)))</f>
        <v>145023.4368</v>
      </c>
      <c r="G101" s="75" t="n">
        <f aca="false">IF(F101="","",IF((IF(D62="",IF($D$35="",0,$D$35),D62))=0,0,MAX(0,3281543.68-(IF(D63&lt;&gt;"",D63,IF($D$37&lt;&gt;"",$D$37,IF((IF(D62="",IF($D$35="",0,$D$35),D62))=0,0,D52/(IF(D62="",IF($D$35="",0,$D$35),D62)))))))*(IF(D62="",IF($D$35="",0,$D$35),D62))))</f>
        <v>0</v>
      </c>
      <c r="H101" s="75" t="n">
        <f aca="false">IF(F101="","",F101+G101)</f>
        <v>145023.4368</v>
      </c>
      <c r="I101" s="75" t="str">
        <f aca="false">IF(E52="","",IF(15&gt;IF(E55="",10,E55),"",E52*(1+IF(E53="",0,E53))^ROUNDDOWN((15-1)/IF(E54="",5,E54),0)))</f>
        <v/>
      </c>
      <c r="J101" s="75" t="str">
        <f aca="false">IF(I101="","",IF((IF(E62="",IF($D$35="",0,$D$35),E62))=0,0,MAX(0,3281543.68-(IF(E63&lt;&gt;"",E63,IF($D$37&lt;&gt;"",$D$37,IF((IF(E62="",IF($D$35="",0,$D$35),E62))=0,0,E52/(IF(E62="",IF($D$35="",0,$D$35),E62)))))))*(IF(E62="",IF($D$35="",0,$D$35),E62))))</f>
        <v/>
      </c>
      <c r="K101" s="75" t="str">
        <f aca="false">IF(I101="","",I101+J101)</f>
        <v/>
      </c>
      <c r="L101" s="75" t="str">
        <f aca="false">IF(F52="","",IF(15&gt;IF(F55="",10,F55),"",F52*(1+IF(F53="",0,F53))^ROUNDDOWN((15-1)/IF(F54="",5,F54),0)))</f>
        <v/>
      </c>
      <c r="M101" s="75" t="str">
        <f aca="false">IF(L101="","",IF((IF(F62="",IF($D$35="",0,$D$35),F62))=0,0,MAX(0,3281543.68-(IF(F63&lt;&gt;"",F63,IF($D$37&lt;&gt;"",$D$37,IF((IF(F62="",IF($D$35="",0,$D$35),F62))=0,0,F52/(IF(F62="",IF($D$35="",0,$D$35),F62)))))))*(IF(F62="",IF($D$35="",0,$D$35),F62))))</f>
        <v/>
      </c>
      <c r="N101" s="75" t="str">
        <f aca="false">IF(L101="","",L101+M101)</f>
        <v/>
      </c>
      <c r="O101" s="75" t="str">
        <f aca="false">IF(G52="","",IF(15&gt;IF(G55="",10,G55),"",G52*(1+IF(G53="",0,G53))^ROUNDDOWN((15-1)/IF(G54="",5,G54),0)))</f>
        <v/>
      </c>
      <c r="P101" s="75" t="str">
        <f aca="false">IF(O101="","",IF((IF(G62="",IF($D$35="",0,$D$35),G62))=0,0,MAX(0,3281543.68-(IF(G63&lt;&gt;"",G63,IF($D$37&lt;&gt;"",$D$37,IF((IF(G62="",IF($D$35="",0,$D$35),G62))=0,0,G52/(IF(G62="",IF($D$35="",0,$D$35),G62)))))))*(IF(G62="",IF($D$35="",0,$D$35),G62))))</f>
        <v/>
      </c>
      <c r="Q101" s="75" t="str">
        <f aca="false">IF(O101="","",O101+P101)</f>
        <v/>
      </c>
      <c r="R101" s="75" t="str">
        <f aca="false">IF(H52="","",IF(15&gt;IF(H55="",10,H55),"",H52*(1+IF(H53="",0,H53))^ROUNDDOWN((15-1)/IF(H54="",5,H54),0)))</f>
        <v/>
      </c>
      <c r="S101" s="75" t="str">
        <f aca="false">IF(R101="","",IF((IF(H62="",IF($D$35="",0,$D$35),H62))=0,0,MAX(0,3281543.68-(IF(H63&lt;&gt;"",H63,IF($D$37&lt;&gt;"",$D$37,IF((IF(H62="",IF($D$35="",0,$D$35),H62))=0,0,H52/(IF(H62="",IF($D$35="",0,$D$35),H62)))))))*(IF(H62="",IF($D$35="",0,$D$35),H62))))</f>
        <v/>
      </c>
      <c r="T101" s="75" t="str">
        <f aca="false">IF(R101="","",R101+S101)</f>
        <v/>
      </c>
    </row>
    <row r="102" customFormat="false" ht="15" hidden="false" customHeight="false" outlineLevel="0" collapsed="false">
      <c r="A102" s="74" t="n">
        <v>16</v>
      </c>
      <c r="B102" s="75" t="n">
        <v>3347175</v>
      </c>
      <c r="C102" s="76" t="n">
        <v>139392</v>
      </c>
      <c r="D102" s="76" t="n">
        <v>0</v>
      </c>
      <c r="E102" s="76" t="n">
        <v>139392</v>
      </c>
      <c r="F102" s="75" t="n">
        <f aca="false">IF(D52="","",IF(16&gt;IF(D55="",10,D55),"",D52*(1+IF(D53="",0,D53))^ROUNDDOWN((16-1)/IF(D54="",5,D54),0)))</f>
        <v>147923.905536</v>
      </c>
      <c r="G102" s="75" t="n">
        <f aca="false">IF(F102="","",IF((IF(D62="",IF($D$35="",0,$D$35),D62))=0,0,MAX(0,3347174.56-(IF(D63&lt;&gt;"",D63,IF($D$37&lt;&gt;"",$D$37,IF((IF(D62="",IF($D$35="",0,$D$35),D62))=0,0,D52/(IF(D62="",IF($D$35="",0,$D$35),D62)))))))*(IF(D62="",IF($D$35="",0,$D$35),D62))))</f>
        <v>0</v>
      </c>
      <c r="H102" s="75" t="n">
        <f aca="false">IF(F102="","",F102+G102)</f>
        <v>147923.905536</v>
      </c>
      <c r="I102" s="75" t="str">
        <f aca="false">IF(E52="","",IF(16&gt;IF(E55="",10,E55),"",E52*(1+IF(E53="",0,E53))^ROUNDDOWN((16-1)/IF(E54="",5,E54),0)))</f>
        <v/>
      </c>
      <c r="J102" s="75" t="str">
        <f aca="false">IF(I102="","",IF((IF(E62="",IF($D$35="",0,$D$35),E62))=0,0,MAX(0,3347174.56-(IF(E63&lt;&gt;"",E63,IF($D$37&lt;&gt;"",$D$37,IF((IF(E62="",IF($D$35="",0,$D$35),E62))=0,0,E52/(IF(E62="",IF($D$35="",0,$D$35),E62)))))))*(IF(E62="",IF($D$35="",0,$D$35),E62))))</f>
        <v/>
      </c>
      <c r="K102" s="75" t="str">
        <f aca="false">IF(I102="","",I102+J102)</f>
        <v/>
      </c>
      <c r="L102" s="75" t="str">
        <f aca="false">IF(F52="","",IF(16&gt;IF(F55="",10,F55),"",F52*(1+IF(F53="",0,F53))^ROUNDDOWN((16-1)/IF(F54="",5,F54),0)))</f>
        <v/>
      </c>
      <c r="M102" s="75" t="str">
        <f aca="false">IF(L102="","",IF((IF(F62="",IF($D$35="",0,$D$35),F62))=0,0,MAX(0,3347174.56-(IF(F63&lt;&gt;"",F63,IF($D$37&lt;&gt;"",$D$37,IF((IF(F62="",IF($D$35="",0,$D$35),F62))=0,0,F52/(IF(F62="",IF($D$35="",0,$D$35),F62)))))))*(IF(F62="",IF($D$35="",0,$D$35),F62))))</f>
        <v/>
      </c>
      <c r="N102" s="75" t="str">
        <f aca="false">IF(L102="","",L102+M102)</f>
        <v/>
      </c>
      <c r="O102" s="75" t="str">
        <f aca="false">IF(G52="","",IF(16&gt;IF(G55="",10,G55),"",G52*(1+IF(G53="",0,G53))^ROUNDDOWN((16-1)/IF(G54="",5,G54),0)))</f>
        <v/>
      </c>
      <c r="P102" s="75" t="str">
        <f aca="false">IF(O102="","",IF((IF(G62="",IF($D$35="",0,$D$35),G62))=0,0,MAX(0,3347174.56-(IF(G63&lt;&gt;"",G63,IF($D$37&lt;&gt;"",$D$37,IF((IF(G62="",IF($D$35="",0,$D$35),G62))=0,0,G52/(IF(G62="",IF($D$35="",0,$D$35),G62)))))))*(IF(G62="",IF($D$35="",0,$D$35),G62))))</f>
        <v/>
      </c>
      <c r="Q102" s="75" t="str">
        <f aca="false">IF(O102="","",O102+P102)</f>
        <v/>
      </c>
      <c r="R102" s="75" t="str">
        <f aca="false">IF(H52="","",IF(16&gt;IF(H55="",10,H55),"",H52*(1+IF(H53="",0,H53))^ROUNDDOWN((16-1)/IF(H54="",5,H54),0)))</f>
        <v/>
      </c>
      <c r="S102" s="75" t="str">
        <f aca="false">IF(R102="","",IF((IF(H62="",IF($D$35="",0,$D$35),H62))=0,0,MAX(0,3347174.56-(IF(H63&lt;&gt;"",H63,IF($D$37&lt;&gt;"",$D$37,IF((IF(H62="",IF($D$35="",0,$D$35),H62))=0,0,H52/(IF(H62="",IF($D$35="",0,$D$35),H62)))))))*(IF(H62="",IF($D$35="",0,$D$35),H62))))</f>
        <v/>
      </c>
      <c r="T102" s="75" t="str">
        <f aca="false">IF(R102="","",R102+S102)</f>
        <v/>
      </c>
    </row>
    <row r="103" customFormat="false" ht="15" hidden="false" customHeight="false" outlineLevel="0" collapsed="false">
      <c r="A103" s="74" t="n">
        <v>17</v>
      </c>
      <c r="B103" s="75" t="n">
        <v>3414118</v>
      </c>
      <c r="C103" s="76" t="n">
        <v>139392</v>
      </c>
      <c r="D103" s="76" t="n">
        <v>0</v>
      </c>
      <c r="E103" s="76" t="n">
        <v>139392</v>
      </c>
      <c r="F103" s="75" t="n">
        <f aca="false">IF(D52="","",IF(17&gt;IF(D55="",10,D55),"",D52*(1+IF(D53="",0,D53))^ROUNDDOWN((17-1)/IF(D54="",5,D54),0)))</f>
        <v>147923.905536</v>
      </c>
      <c r="G103" s="75" t="n">
        <f aca="false">IF(F103="","",IF((IF(D62="",IF($D$35="",0,$D$35),D62))=0,0,MAX(0,3414118.05-(IF(D63&lt;&gt;"",D63,IF($D$37&lt;&gt;"",$D$37,IF((IF(D62="",IF($D$35="",0,$D$35),D62))=0,0,D52/(IF(D62="",IF($D$35="",0,$D$35),D62)))))))*(IF(D62="",IF($D$35="",0,$D$35),D62))))</f>
        <v>0</v>
      </c>
      <c r="H103" s="75" t="n">
        <f aca="false">IF(F103="","",F103+G103)</f>
        <v>147923.905536</v>
      </c>
      <c r="I103" s="75" t="str">
        <f aca="false">IF(E52="","",IF(17&gt;IF(E55="",10,E55),"",E52*(1+IF(E53="",0,E53))^ROUNDDOWN((17-1)/IF(E54="",5,E54),0)))</f>
        <v/>
      </c>
      <c r="J103" s="75" t="str">
        <f aca="false">IF(I103="","",IF((IF(E62="",IF($D$35="",0,$D$35),E62))=0,0,MAX(0,3414118.05-(IF(E63&lt;&gt;"",E63,IF($D$37&lt;&gt;"",$D$37,IF((IF(E62="",IF($D$35="",0,$D$35),E62))=0,0,E52/(IF(E62="",IF($D$35="",0,$D$35),E62)))))))*(IF(E62="",IF($D$35="",0,$D$35),E62))))</f>
        <v/>
      </c>
      <c r="K103" s="75" t="str">
        <f aca="false">IF(I103="","",I103+J103)</f>
        <v/>
      </c>
      <c r="L103" s="75" t="str">
        <f aca="false">IF(F52="","",IF(17&gt;IF(F55="",10,F55),"",F52*(1+IF(F53="",0,F53))^ROUNDDOWN((17-1)/IF(F54="",5,F54),0)))</f>
        <v/>
      </c>
      <c r="M103" s="75" t="str">
        <f aca="false">IF(L103="","",IF((IF(F62="",IF($D$35="",0,$D$35),F62))=0,0,MAX(0,3414118.05-(IF(F63&lt;&gt;"",F63,IF($D$37&lt;&gt;"",$D$37,IF((IF(F62="",IF($D$35="",0,$D$35),F62))=0,0,F52/(IF(F62="",IF($D$35="",0,$D$35),F62)))))))*(IF(F62="",IF($D$35="",0,$D$35),F62))))</f>
        <v/>
      </c>
      <c r="N103" s="75" t="str">
        <f aca="false">IF(L103="","",L103+M103)</f>
        <v/>
      </c>
      <c r="O103" s="75" t="str">
        <f aca="false">IF(G52="","",IF(17&gt;IF(G55="",10,G55),"",G52*(1+IF(G53="",0,G53))^ROUNDDOWN((17-1)/IF(G54="",5,G54),0)))</f>
        <v/>
      </c>
      <c r="P103" s="75" t="str">
        <f aca="false">IF(O103="","",IF((IF(G62="",IF($D$35="",0,$D$35),G62))=0,0,MAX(0,3414118.05-(IF(G63&lt;&gt;"",G63,IF($D$37&lt;&gt;"",$D$37,IF((IF(G62="",IF($D$35="",0,$D$35),G62))=0,0,G52/(IF(G62="",IF($D$35="",0,$D$35),G62)))))))*(IF(G62="",IF($D$35="",0,$D$35),G62))))</f>
        <v/>
      </c>
      <c r="Q103" s="75" t="str">
        <f aca="false">IF(O103="","",O103+P103)</f>
        <v/>
      </c>
      <c r="R103" s="75" t="str">
        <f aca="false">IF(H52="","",IF(17&gt;IF(H55="",10,H55),"",H52*(1+IF(H53="",0,H53))^ROUNDDOWN((17-1)/IF(H54="",5,H54),0)))</f>
        <v/>
      </c>
      <c r="S103" s="75" t="str">
        <f aca="false">IF(R103="","",IF((IF(H62="",IF($D$35="",0,$D$35),H62))=0,0,MAX(0,3414118.05-(IF(H63&lt;&gt;"",H63,IF($D$37&lt;&gt;"",$D$37,IF((IF(H62="",IF($D$35="",0,$D$35),H62))=0,0,H52/(IF(H62="",IF($D$35="",0,$D$35),H62)))))))*(IF(H62="",IF($D$35="",0,$D$35),H62))))</f>
        <v/>
      </c>
      <c r="T103" s="75" t="str">
        <f aca="false">IF(R103="","",R103+S103)</f>
        <v/>
      </c>
    </row>
    <row r="104" customFormat="false" ht="15" hidden="false" customHeight="false" outlineLevel="0" collapsed="false">
      <c r="A104" s="74" t="n">
        <v>18</v>
      </c>
      <c r="B104" s="75" t="n">
        <v>3482400</v>
      </c>
      <c r="C104" s="76" t="n">
        <v>139392</v>
      </c>
      <c r="D104" s="76" t="n">
        <v>0</v>
      </c>
      <c r="E104" s="76" t="n">
        <v>139392</v>
      </c>
      <c r="F104" s="75" t="n">
        <f aca="false">IF(D52="","",IF(18&gt;IF(D55="",10,D55),"",D52*(1+IF(D53="",0,D53))^ROUNDDOWN((18-1)/IF(D54="",5,D54),0)))</f>
        <v>147923.905536</v>
      </c>
      <c r="G104" s="75" t="n">
        <f aca="false">IF(F104="","",IF((IF(D62="",IF($D$35="",0,$D$35),D62))=0,0,MAX(0,3482400.41-(IF(D63&lt;&gt;"",D63,IF($D$37&lt;&gt;"",$D$37,IF((IF(D62="",IF($D$35="",0,$D$35),D62))=0,0,D52/(IF(D62="",IF($D$35="",0,$D$35),D62)))))))*(IF(D62="",IF($D$35="",0,$D$35),D62))))</f>
        <v>0</v>
      </c>
      <c r="H104" s="75" t="n">
        <f aca="false">IF(F104="","",F104+G104)</f>
        <v>147923.905536</v>
      </c>
      <c r="I104" s="75" t="str">
        <f aca="false">IF(E52="","",IF(18&gt;IF(E55="",10,E55),"",E52*(1+IF(E53="",0,E53))^ROUNDDOWN((18-1)/IF(E54="",5,E54),0)))</f>
        <v/>
      </c>
      <c r="J104" s="75" t="str">
        <f aca="false">IF(I104="","",IF((IF(E62="",IF($D$35="",0,$D$35),E62))=0,0,MAX(0,3482400.41-(IF(E63&lt;&gt;"",E63,IF($D$37&lt;&gt;"",$D$37,IF((IF(E62="",IF($D$35="",0,$D$35),E62))=0,0,E52/(IF(E62="",IF($D$35="",0,$D$35),E62)))))))*(IF(E62="",IF($D$35="",0,$D$35),E62))))</f>
        <v/>
      </c>
      <c r="K104" s="75" t="str">
        <f aca="false">IF(I104="","",I104+J104)</f>
        <v/>
      </c>
      <c r="L104" s="75" t="str">
        <f aca="false">IF(F52="","",IF(18&gt;IF(F55="",10,F55),"",F52*(1+IF(F53="",0,F53))^ROUNDDOWN((18-1)/IF(F54="",5,F54),0)))</f>
        <v/>
      </c>
      <c r="M104" s="75" t="str">
        <f aca="false">IF(L104="","",IF((IF(F62="",IF($D$35="",0,$D$35),F62))=0,0,MAX(0,3482400.41-(IF(F63&lt;&gt;"",F63,IF($D$37&lt;&gt;"",$D$37,IF((IF(F62="",IF($D$35="",0,$D$35),F62))=0,0,F52/(IF(F62="",IF($D$35="",0,$D$35),F62)))))))*(IF(F62="",IF($D$35="",0,$D$35),F62))))</f>
        <v/>
      </c>
      <c r="N104" s="75" t="str">
        <f aca="false">IF(L104="","",L104+M104)</f>
        <v/>
      </c>
      <c r="O104" s="75" t="str">
        <f aca="false">IF(G52="","",IF(18&gt;IF(G55="",10,G55),"",G52*(1+IF(G53="",0,G53))^ROUNDDOWN((18-1)/IF(G54="",5,G54),0)))</f>
        <v/>
      </c>
      <c r="P104" s="75" t="str">
        <f aca="false">IF(O104="","",IF((IF(G62="",IF($D$35="",0,$D$35),G62))=0,0,MAX(0,3482400.41-(IF(G63&lt;&gt;"",G63,IF($D$37&lt;&gt;"",$D$37,IF((IF(G62="",IF($D$35="",0,$D$35),G62))=0,0,G52/(IF(G62="",IF($D$35="",0,$D$35),G62)))))))*(IF(G62="",IF($D$35="",0,$D$35),G62))))</f>
        <v/>
      </c>
      <c r="Q104" s="75" t="str">
        <f aca="false">IF(O104="","",O104+P104)</f>
        <v/>
      </c>
      <c r="R104" s="75" t="str">
        <f aca="false">IF(H52="","",IF(18&gt;IF(H55="",10,H55),"",H52*(1+IF(H53="",0,H53))^ROUNDDOWN((18-1)/IF(H54="",5,H54),0)))</f>
        <v/>
      </c>
      <c r="S104" s="75" t="str">
        <f aca="false">IF(R104="","",IF((IF(H62="",IF($D$35="",0,$D$35),H62))=0,0,MAX(0,3482400.41-(IF(H63&lt;&gt;"",H63,IF($D$37&lt;&gt;"",$D$37,IF((IF(H62="",IF($D$35="",0,$D$35),H62))=0,0,H52/(IF(H62="",IF($D$35="",0,$D$35),H62)))))))*(IF(H62="",IF($D$35="",0,$D$35),H62))))</f>
        <v/>
      </c>
      <c r="T104" s="75" t="str">
        <f aca="false">IF(R104="","",R104+S104)</f>
        <v/>
      </c>
    </row>
    <row r="105" customFormat="false" ht="15" hidden="false" customHeight="false" outlineLevel="0" collapsed="false">
      <c r="A105" s="74" t="n">
        <v>19</v>
      </c>
      <c r="B105" s="75" t="n">
        <v>3552048</v>
      </c>
      <c r="C105" s="76" t="n">
        <v>139392</v>
      </c>
      <c r="D105" s="76" t="n">
        <v>0</v>
      </c>
      <c r="E105" s="76" t="n">
        <v>139392</v>
      </c>
      <c r="F105" s="75" t="n">
        <f aca="false">IF(D52="","",IF(19&gt;IF(D55="",10,D55),"",D52*(1+IF(D53="",0,D53))^ROUNDDOWN((19-1)/IF(D54="",5,D54),0)))</f>
        <v>147923.905536</v>
      </c>
      <c r="G105" s="75" t="n">
        <f aca="false">IF(F105="","",IF((IF(D62="",IF($D$35="",0,$D$35),D62))=0,0,MAX(0,3552048.42-(IF(D63&lt;&gt;"",D63,IF($D$37&lt;&gt;"",$D$37,IF((IF(D62="",IF($D$35="",0,$D$35),D62))=0,0,D52/(IF(D62="",IF($D$35="",0,$D$35),D62)))))))*(IF(D62="",IF($D$35="",0,$D$35),D62))))</f>
        <v>0</v>
      </c>
      <c r="H105" s="75" t="n">
        <f aca="false">IF(F105="","",F105+G105)</f>
        <v>147923.905536</v>
      </c>
      <c r="I105" s="75" t="str">
        <f aca="false">IF(E52="","",IF(19&gt;IF(E55="",10,E55),"",E52*(1+IF(E53="",0,E53))^ROUNDDOWN((19-1)/IF(E54="",5,E54),0)))</f>
        <v/>
      </c>
      <c r="J105" s="75" t="str">
        <f aca="false">IF(I105="","",IF((IF(E62="",IF($D$35="",0,$D$35),E62))=0,0,MAX(0,3552048.42-(IF(E63&lt;&gt;"",E63,IF($D$37&lt;&gt;"",$D$37,IF((IF(E62="",IF($D$35="",0,$D$35),E62))=0,0,E52/(IF(E62="",IF($D$35="",0,$D$35),E62)))))))*(IF(E62="",IF($D$35="",0,$D$35),E62))))</f>
        <v/>
      </c>
      <c r="K105" s="75" t="str">
        <f aca="false">IF(I105="","",I105+J105)</f>
        <v/>
      </c>
      <c r="L105" s="75" t="str">
        <f aca="false">IF(F52="","",IF(19&gt;IF(F55="",10,F55),"",F52*(1+IF(F53="",0,F53))^ROUNDDOWN((19-1)/IF(F54="",5,F54),0)))</f>
        <v/>
      </c>
      <c r="M105" s="75" t="str">
        <f aca="false">IF(L105="","",IF((IF(F62="",IF($D$35="",0,$D$35),F62))=0,0,MAX(0,3552048.42-(IF(F63&lt;&gt;"",F63,IF($D$37&lt;&gt;"",$D$37,IF((IF(F62="",IF($D$35="",0,$D$35),F62))=0,0,F52/(IF(F62="",IF($D$35="",0,$D$35),F62)))))))*(IF(F62="",IF($D$35="",0,$D$35),F62))))</f>
        <v/>
      </c>
      <c r="N105" s="75" t="str">
        <f aca="false">IF(L105="","",L105+M105)</f>
        <v/>
      </c>
      <c r="O105" s="75" t="str">
        <f aca="false">IF(G52="","",IF(19&gt;IF(G55="",10,G55),"",G52*(1+IF(G53="",0,G53))^ROUNDDOWN((19-1)/IF(G54="",5,G54),0)))</f>
        <v/>
      </c>
      <c r="P105" s="75" t="str">
        <f aca="false">IF(O105="","",IF((IF(G62="",IF($D$35="",0,$D$35),G62))=0,0,MAX(0,3552048.42-(IF(G63&lt;&gt;"",G63,IF($D$37&lt;&gt;"",$D$37,IF((IF(G62="",IF($D$35="",0,$D$35),G62))=0,0,G52/(IF(G62="",IF($D$35="",0,$D$35),G62)))))))*(IF(G62="",IF($D$35="",0,$D$35),G62))))</f>
        <v/>
      </c>
      <c r="Q105" s="75" t="str">
        <f aca="false">IF(O105="","",O105+P105)</f>
        <v/>
      </c>
      <c r="R105" s="75" t="str">
        <f aca="false">IF(H52="","",IF(19&gt;IF(H55="",10,H55),"",H52*(1+IF(H53="",0,H53))^ROUNDDOWN((19-1)/IF(H54="",5,H54),0)))</f>
        <v/>
      </c>
      <c r="S105" s="75" t="str">
        <f aca="false">IF(R105="","",IF((IF(H62="",IF($D$35="",0,$D$35),H62))=0,0,MAX(0,3552048.42-(IF(H63&lt;&gt;"",H63,IF($D$37&lt;&gt;"",$D$37,IF((IF(H62="",IF($D$35="",0,$D$35),H62))=0,0,H52/(IF(H62="",IF($D$35="",0,$D$35),H62)))))))*(IF(H62="",IF($D$35="",0,$D$35),H62))))</f>
        <v/>
      </c>
      <c r="T105" s="75" t="str">
        <f aca="false">IF(R105="","",R105+S105)</f>
        <v/>
      </c>
    </row>
    <row r="106" customFormat="false" ht="15" hidden="false" customHeight="false" outlineLevel="0" collapsed="false">
      <c r="A106" s="74" t="n">
        <v>20</v>
      </c>
      <c r="B106" s="75" t="n">
        <v>3623089</v>
      </c>
      <c r="C106" s="76" t="n">
        <v>139392</v>
      </c>
      <c r="D106" s="76" t="n">
        <v>0</v>
      </c>
      <c r="E106" s="76" t="n">
        <v>139392</v>
      </c>
      <c r="F106" s="75" t="n">
        <f aca="false">IF(D52="","",IF(20&gt;IF(D55="",10,D55),"",D52*(1+IF(D53="",0,D53))^ROUNDDOWN((20-1)/IF(D54="",5,D54),0)))</f>
        <v>147923.905536</v>
      </c>
      <c r="G106" s="75" t="n">
        <f aca="false">IF(F106="","",IF((IF(D62="",IF($D$35="",0,$D$35),D62))=0,0,MAX(0,3623089.39-(IF(D63&lt;&gt;"",D63,IF($D$37&lt;&gt;"",$D$37,IF((IF(D62="",IF($D$35="",0,$D$35),D62))=0,0,D52/(IF(D62="",IF($D$35="",0,$D$35),D62)))))))*(IF(D62="",IF($D$35="",0,$D$35),D62))))</f>
        <v>0</v>
      </c>
      <c r="H106" s="75" t="n">
        <f aca="false">IF(F106="","",F106+G106)</f>
        <v>147923.905536</v>
      </c>
      <c r="I106" s="75" t="str">
        <f aca="false">IF(E52="","",IF(20&gt;IF(E55="",10,E55),"",E52*(1+IF(E53="",0,E53))^ROUNDDOWN((20-1)/IF(E54="",5,E54),0)))</f>
        <v/>
      </c>
      <c r="J106" s="75" t="str">
        <f aca="false">IF(I106="","",IF((IF(E62="",IF($D$35="",0,$D$35),E62))=0,0,MAX(0,3623089.39-(IF(E63&lt;&gt;"",E63,IF($D$37&lt;&gt;"",$D$37,IF((IF(E62="",IF($D$35="",0,$D$35),E62))=0,0,E52/(IF(E62="",IF($D$35="",0,$D$35),E62)))))))*(IF(E62="",IF($D$35="",0,$D$35),E62))))</f>
        <v/>
      </c>
      <c r="K106" s="75" t="str">
        <f aca="false">IF(I106="","",I106+J106)</f>
        <v/>
      </c>
      <c r="L106" s="75" t="str">
        <f aca="false">IF(F52="","",IF(20&gt;IF(F55="",10,F55),"",F52*(1+IF(F53="",0,F53))^ROUNDDOWN((20-1)/IF(F54="",5,F54),0)))</f>
        <v/>
      </c>
      <c r="M106" s="75" t="str">
        <f aca="false">IF(L106="","",IF((IF(F62="",IF($D$35="",0,$D$35),F62))=0,0,MAX(0,3623089.39-(IF(F63&lt;&gt;"",F63,IF($D$37&lt;&gt;"",$D$37,IF((IF(F62="",IF($D$35="",0,$D$35),F62))=0,0,F52/(IF(F62="",IF($D$35="",0,$D$35),F62)))))))*(IF(F62="",IF($D$35="",0,$D$35),F62))))</f>
        <v/>
      </c>
      <c r="N106" s="75" t="str">
        <f aca="false">IF(L106="","",L106+M106)</f>
        <v/>
      </c>
      <c r="O106" s="75" t="str">
        <f aca="false">IF(G52="","",IF(20&gt;IF(G55="",10,G55),"",G52*(1+IF(G53="",0,G53))^ROUNDDOWN((20-1)/IF(G54="",5,G54),0)))</f>
        <v/>
      </c>
      <c r="P106" s="75" t="str">
        <f aca="false">IF(O106="","",IF((IF(G62="",IF($D$35="",0,$D$35),G62))=0,0,MAX(0,3623089.39-(IF(G63&lt;&gt;"",G63,IF($D$37&lt;&gt;"",$D$37,IF((IF(G62="",IF($D$35="",0,$D$35),G62))=0,0,G52/(IF(G62="",IF($D$35="",0,$D$35),G62)))))))*(IF(G62="",IF($D$35="",0,$D$35),G62))))</f>
        <v/>
      </c>
      <c r="Q106" s="75" t="str">
        <f aca="false">IF(O106="","",O106+P106)</f>
        <v/>
      </c>
      <c r="R106" s="75" t="str">
        <f aca="false">IF(H52="","",IF(20&gt;IF(H55="",10,H55),"",H52*(1+IF(H53="",0,H53))^ROUNDDOWN((20-1)/IF(H54="",5,H54),0)))</f>
        <v/>
      </c>
      <c r="S106" s="75" t="str">
        <f aca="false">IF(R106="","",IF((IF(H62="",IF($D$35="",0,$D$35),H62))=0,0,MAX(0,3623089.39-(IF(H63&lt;&gt;"",H63,IF($D$37&lt;&gt;"",$D$37,IF((IF(H62="",IF($D$35="",0,$D$35),H62))=0,0,H52/(IF(H62="",IF($D$35="",0,$D$35),H62)))))))*(IF(H62="",IF($D$35="",0,$D$35),H62))))</f>
        <v/>
      </c>
      <c r="T106" s="75" t="str">
        <f aca="false">IF(R106="","",R106+S106)</f>
        <v/>
      </c>
    </row>
    <row r="107" customFormat="false" ht="15" hidden="false" customHeight="false" outlineLevel="0" collapsed="false">
      <c r="A107" s="77" t="s">
        <v>394</v>
      </c>
      <c r="C107" s="78" t="n">
        <f aca="false">IF(COUNT(C87:C106)=0,"",SUM(C87:C106))</f>
        <v>2787840</v>
      </c>
      <c r="D107" s="78" t="n">
        <f aca="false">IF(COUNT(D87:D106)=0,"",SUM(D87:D106))</f>
        <v>0</v>
      </c>
      <c r="E107" s="78" t="n">
        <f aca="false">IF(COUNT(E87:E106)=0,"",SUM(E87:E106))</f>
        <v>2787840</v>
      </c>
      <c r="F107" s="78" t="n">
        <f aca="false">IF(COUNT(F87:F106)=0,"",SUM(F87:F106))</f>
        <v>2872595.91168</v>
      </c>
      <c r="G107" s="78" t="n">
        <f aca="false">IF(COUNT(G87:G106)=0,"",SUM(G87:G106))</f>
        <v>0</v>
      </c>
      <c r="H107" s="78" t="n">
        <f aca="false">IF(COUNT(H87:H106)=0,"",SUM(H87:H106))</f>
        <v>2872595.91168</v>
      </c>
      <c r="I107" s="78" t="str">
        <f aca="false">IF(COUNT(I87:I106)=0,"",SUM(I87:I106))</f>
        <v/>
      </c>
      <c r="J107" s="78" t="str">
        <f aca="false">IF(COUNT(J87:J106)=0,"",SUM(J87:J106))</f>
        <v/>
      </c>
      <c r="K107" s="78" t="str">
        <f aca="false">IF(COUNT(K87:K106)=0,"",SUM(K87:K106))</f>
        <v/>
      </c>
      <c r="L107" s="78" t="str">
        <f aca="false">IF(COUNT(L87:L106)=0,"",SUM(L87:L106))</f>
        <v/>
      </c>
      <c r="M107" s="78" t="str">
        <f aca="false">IF(COUNT(M87:M106)=0,"",SUM(M87:M106))</f>
        <v/>
      </c>
      <c r="N107" s="78" t="str">
        <f aca="false">IF(COUNT(N87:N106)=0,"",SUM(N87:N106))</f>
        <v/>
      </c>
      <c r="O107" s="78" t="str">
        <f aca="false">IF(COUNT(O87:O106)=0,"",SUM(O87:O106))</f>
        <v/>
      </c>
      <c r="P107" s="78" t="str">
        <f aca="false">IF(COUNT(P87:P106)=0,"",SUM(P87:P106))</f>
        <v/>
      </c>
      <c r="Q107" s="78" t="str">
        <f aca="false">IF(COUNT(Q87:Q106)=0,"",SUM(Q87:Q106))</f>
        <v/>
      </c>
      <c r="R107" s="78" t="str">
        <f aca="false">IF(COUNT(R87:R106)=0,"",SUM(R87:R106))</f>
        <v/>
      </c>
      <c r="S107" s="78" t="str">
        <f aca="false">IF(COUNT(S87:S106)=0,"",SUM(S87:S106))</f>
        <v/>
      </c>
      <c r="T107" s="78" t="str">
        <f aca="false">IF(COUNT(T87:T106)=0,"",SUM(T87:T106))</f>
        <v/>
      </c>
    </row>
    <row r="108" customFormat="false" ht="15" hidden="false" customHeight="false" outlineLevel="0" collapsed="false">
      <c r="A108" s="69" t="s">
        <v>395</v>
      </c>
      <c r="B108" s="69"/>
      <c r="C108" s="69"/>
      <c r="D108" s="69"/>
      <c r="E108" s="69"/>
      <c r="F108" s="69"/>
      <c r="G108" s="69"/>
      <c r="H108" s="69"/>
      <c r="I108" s="69"/>
      <c r="J108" s="69"/>
      <c r="K108" s="69"/>
      <c r="L108" s="69"/>
      <c r="M108" s="69"/>
      <c r="N108" s="69"/>
      <c r="O108" s="69"/>
      <c r="P108" s="69"/>
      <c r="Q108" s="69"/>
      <c r="R108" s="69"/>
      <c r="S108" s="69"/>
      <c r="T108" s="69"/>
    </row>
  </sheetData>
  <mergeCells count="84">
    <mergeCell ref="A2:J2"/>
    <mergeCell ref="A3:J3"/>
    <mergeCell ref="A4:J4"/>
    <mergeCell ref="A5:J5"/>
    <mergeCell ref="A6:J6"/>
    <mergeCell ref="A7:J7"/>
    <mergeCell ref="A8:J8"/>
    <mergeCell ref="A10:C10"/>
    <mergeCell ref="D10:J10"/>
    <mergeCell ref="A11:C11"/>
    <mergeCell ref="D11:J11"/>
    <mergeCell ref="A12:C12"/>
    <mergeCell ref="D12:J12"/>
    <mergeCell ref="A13:C13"/>
    <mergeCell ref="D13:J13"/>
    <mergeCell ref="A14:C14"/>
    <mergeCell ref="D14:J14"/>
    <mergeCell ref="G17:J17"/>
    <mergeCell ref="G18:J18"/>
    <mergeCell ref="G19:J19"/>
    <mergeCell ref="G20:J20"/>
    <mergeCell ref="A21:D21"/>
    <mergeCell ref="A22:J22"/>
    <mergeCell ref="A25:C25"/>
    <mergeCell ref="A26:C26"/>
    <mergeCell ref="E26:J26"/>
    <mergeCell ref="A27:C27"/>
    <mergeCell ref="E27:J27"/>
    <mergeCell ref="A28:C28"/>
    <mergeCell ref="A29:C29"/>
    <mergeCell ref="A30:C30"/>
    <mergeCell ref="E30:J30"/>
    <mergeCell ref="A31:J31"/>
    <mergeCell ref="A32:J32"/>
    <mergeCell ref="A35:C35"/>
    <mergeCell ref="E35:J35"/>
    <mergeCell ref="A36:C36"/>
    <mergeCell ref="E36:J36"/>
    <mergeCell ref="A37:C37"/>
    <mergeCell ref="E37:J37"/>
    <mergeCell ref="A38:C38"/>
    <mergeCell ref="E38:J38"/>
    <mergeCell ref="A39:C39"/>
    <mergeCell ref="A40:C40"/>
    <mergeCell ref="A41:C41"/>
    <mergeCell ref="A42:C42"/>
    <mergeCell ref="A47:G47"/>
    <mergeCell ref="A50:C50"/>
    <mergeCell ref="A51:C51"/>
    <mergeCell ref="A52:C52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2:C62"/>
    <mergeCell ref="A63:C63"/>
    <mergeCell ref="A64:C64"/>
    <mergeCell ref="A65:C65"/>
    <mergeCell ref="A66:C66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7:J77"/>
    <mergeCell ref="A78:J78"/>
    <mergeCell ref="A80:J80"/>
    <mergeCell ref="A84:T84"/>
    <mergeCell ref="C85:E85"/>
    <mergeCell ref="F85:H85"/>
    <mergeCell ref="I85:K85"/>
    <mergeCell ref="L85:N85"/>
    <mergeCell ref="O85:Q85"/>
    <mergeCell ref="R85:T85"/>
    <mergeCell ref="A108:T108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T10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6"/>
    <col collapsed="false" customWidth="true" hidden="false" outlineLevel="0" max="2" min="2" style="0" width="22"/>
    <col collapsed="false" customWidth="true" hidden="false" outlineLevel="0" max="3" min="3" style="0" width="11"/>
    <col collapsed="false" customWidth="true" hidden="false" outlineLevel="0" max="4" min="4" style="0" width="14"/>
    <col collapsed="false" customWidth="true" hidden="false" outlineLevel="0" max="6" min="5" style="0" width="12"/>
    <col collapsed="false" customWidth="true" hidden="false" outlineLevel="0" max="7" min="7" style="0" width="14"/>
    <col collapsed="false" customWidth="true" hidden="false" outlineLevel="0" max="9" min="8" style="0" width="13"/>
    <col collapsed="false" customWidth="true" hidden="false" outlineLevel="0" max="10" min="10" style="0" width="26"/>
  </cols>
  <sheetData>
    <row r="1" customFormat="false" ht="16.15" hidden="false" customHeight="false" outlineLevel="0" collapsed="false">
      <c r="A1" s="3" t="s">
        <v>598</v>
      </c>
    </row>
    <row r="2" customFormat="false" ht="25.5" hidden="false" customHeight="true" outlineLevel="0" collapsed="false">
      <c r="A2" s="12" t="s">
        <v>251</v>
      </c>
      <c r="B2" s="12"/>
      <c r="C2" s="12"/>
      <c r="D2" s="12"/>
      <c r="E2" s="12"/>
      <c r="F2" s="12"/>
      <c r="G2" s="12"/>
      <c r="H2" s="12"/>
      <c r="I2" s="12"/>
      <c r="J2" s="12"/>
    </row>
    <row r="3" customFormat="false" ht="15" hidden="false" customHeight="true" outlineLevel="0" collapsed="false">
      <c r="A3" s="16" t="s">
        <v>599</v>
      </c>
      <c r="B3" s="16"/>
      <c r="C3" s="16"/>
      <c r="D3" s="16"/>
      <c r="E3" s="16"/>
      <c r="F3" s="16"/>
      <c r="G3" s="16"/>
      <c r="H3" s="16"/>
      <c r="I3" s="16"/>
      <c r="J3" s="16"/>
    </row>
    <row r="4" customFormat="false" ht="30" hidden="false" customHeight="true" outlineLevel="0" collapsed="false">
      <c r="A4" s="17" t="s">
        <v>52</v>
      </c>
      <c r="B4" s="17"/>
      <c r="C4" s="17"/>
      <c r="D4" s="17"/>
      <c r="E4" s="17"/>
      <c r="F4" s="17"/>
      <c r="G4" s="17"/>
      <c r="H4" s="17"/>
      <c r="I4" s="17"/>
      <c r="J4" s="17"/>
    </row>
    <row r="5" customFormat="false" ht="15" hidden="false" customHeight="true" outlineLevel="0" collapsed="false">
      <c r="A5" s="18" t="s">
        <v>17</v>
      </c>
      <c r="B5" s="18"/>
      <c r="C5" s="18"/>
      <c r="D5" s="18"/>
      <c r="E5" s="18"/>
      <c r="F5" s="18"/>
      <c r="G5" s="18"/>
      <c r="H5" s="18"/>
      <c r="I5" s="18"/>
      <c r="J5" s="18"/>
    </row>
    <row r="6" customFormat="false" ht="15" hidden="false" customHeight="true" outlineLevel="0" collapsed="false">
      <c r="A6" s="19" t="s">
        <v>53</v>
      </c>
      <c r="B6" s="19"/>
      <c r="C6" s="19"/>
      <c r="D6" s="19"/>
      <c r="E6" s="19"/>
      <c r="F6" s="19"/>
      <c r="G6" s="19"/>
      <c r="H6" s="19"/>
      <c r="I6" s="19"/>
      <c r="J6" s="19"/>
    </row>
    <row r="7" customFormat="false" ht="23.85" hidden="false" customHeight="true" outlineLevel="0" collapsed="false">
      <c r="A7" s="20" t="s">
        <v>600</v>
      </c>
      <c r="B7" s="20"/>
      <c r="C7" s="20"/>
      <c r="D7" s="20"/>
      <c r="E7" s="20"/>
      <c r="F7" s="20"/>
      <c r="G7" s="20"/>
      <c r="H7" s="20"/>
      <c r="I7" s="20"/>
      <c r="J7" s="20"/>
    </row>
    <row r="8" customFormat="false" ht="15" hidden="false" customHeight="true" outlineLevel="0" collapsed="false">
      <c r="A8" s="21" t="s">
        <v>254</v>
      </c>
      <c r="B8" s="21"/>
      <c r="C8" s="21"/>
      <c r="D8" s="21"/>
      <c r="E8" s="21"/>
      <c r="F8" s="21"/>
      <c r="G8" s="21"/>
      <c r="H8" s="21"/>
      <c r="I8" s="21"/>
      <c r="J8" s="21"/>
    </row>
    <row r="10" customFormat="false" ht="15" hidden="false" customHeight="true" outlineLevel="0" collapsed="false">
      <c r="A10" s="22" t="s">
        <v>255</v>
      </c>
      <c r="B10" s="22"/>
      <c r="C10" s="22"/>
      <c r="D10" s="23" t="s">
        <v>601</v>
      </c>
      <c r="E10" s="23"/>
      <c r="F10" s="23"/>
      <c r="G10" s="23"/>
      <c r="H10" s="23"/>
      <c r="I10" s="23"/>
      <c r="J10" s="23"/>
    </row>
    <row r="11" customFormat="false" ht="15" hidden="false" customHeight="true" outlineLevel="0" collapsed="false">
      <c r="A11" s="22" t="s">
        <v>257</v>
      </c>
      <c r="B11" s="22"/>
      <c r="C11" s="22"/>
      <c r="D11" s="23" t="s">
        <v>602</v>
      </c>
      <c r="E11" s="23"/>
      <c r="F11" s="23"/>
      <c r="G11" s="23"/>
      <c r="H11" s="23"/>
      <c r="I11" s="23"/>
      <c r="J11" s="23"/>
    </row>
    <row r="12" customFormat="false" ht="15" hidden="false" customHeight="true" outlineLevel="0" collapsed="false">
      <c r="A12" s="22" t="s">
        <v>259</v>
      </c>
      <c r="B12" s="22"/>
      <c r="C12" s="22"/>
      <c r="D12" s="86"/>
      <c r="E12" s="86"/>
      <c r="F12" s="86"/>
      <c r="G12" s="86"/>
      <c r="H12" s="86"/>
      <c r="I12" s="86"/>
      <c r="J12" s="86"/>
    </row>
    <row r="13" customFormat="false" ht="15" hidden="false" customHeight="true" outlineLevel="0" collapsed="false">
      <c r="A13" s="22" t="s">
        <v>261</v>
      </c>
      <c r="B13" s="22"/>
      <c r="C13" s="22"/>
      <c r="D13" s="24" t="n">
        <v>2041616.91</v>
      </c>
      <c r="E13" s="24"/>
      <c r="F13" s="24"/>
      <c r="G13" s="24"/>
      <c r="H13" s="24"/>
      <c r="I13" s="24"/>
      <c r="J13" s="24"/>
    </row>
    <row r="14" customFormat="false" ht="35.05" hidden="false" customHeight="true" outlineLevel="0" collapsed="false">
      <c r="A14" s="22" t="s">
        <v>262</v>
      </c>
      <c r="B14" s="22"/>
      <c r="C14" s="22"/>
      <c r="D14" s="22" t="s">
        <v>603</v>
      </c>
      <c r="E14" s="22"/>
      <c r="F14" s="22"/>
      <c r="G14" s="22"/>
      <c r="H14" s="22"/>
      <c r="I14" s="22"/>
      <c r="J14" s="22"/>
    </row>
    <row r="16" customFormat="false" ht="15" hidden="false" customHeight="false" outlineLevel="0" collapsed="false">
      <c r="A16" s="25" t="s">
        <v>264</v>
      </c>
    </row>
    <row r="17" customFormat="false" ht="22.35" hidden="false" customHeight="true" outlineLevel="0" collapsed="false">
      <c r="A17" s="26" t="s">
        <v>265</v>
      </c>
      <c r="B17" s="26" t="s">
        <v>266</v>
      </c>
      <c r="C17" s="26" t="s">
        <v>267</v>
      </c>
      <c r="D17" s="26" t="s">
        <v>268</v>
      </c>
      <c r="E17" s="26" t="s">
        <v>269</v>
      </c>
      <c r="F17" s="26" t="s">
        <v>270</v>
      </c>
      <c r="G17" s="26" t="s">
        <v>271</v>
      </c>
      <c r="H17" s="26"/>
      <c r="I17" s="26"/>
      <c r="J17" s="26"/>
    </row>
    <row r="18" customFormat="false" ht="23.85" hidden="false" customHeight="true" outlineLevel="0" collapsed="false">
      <c r="A18" s="27" t="s">
        <v>604</v>
      </c>
      <c r="B18" s="28" t="s">
        <v>404</v>
      </c>
      <c r="C18" s="28" t="s">
        <v>605</v>
      </c>
      <c r="D18" s="29" t="n">
        <v>5189.47</v>
      </c>
      <c r="E18" s="30" t="n">
        <f aca="false">IF(D18="","",D18*12)</f>
        <v>62273.64</v>
      </c>
      <c r="F18" s="31" t="n">
        <v>4.5</v>
      </c>
      <c r="G18" s="32" t="s">
        <v>606</v>
      </c>
      <c r="H18" s="32"/>
      <c r="I18" s="32"/>
      <c r="J18" s="32"/>
    </row>
    <row r="19" customFormat="false" ht="23.85" hidden="false" customHeight="true" outlineLevel="0" collapsed="false">
      <c r="A19" s="27" t="s">
        <v>607</v>
      </c>
      <c r="B19" s="28" t="s">
        <v>608</v>
      </c>
      <c r="C19" s="28" t="s">
        <v>609</v>
      </c>
      <c r="D19" s="80" t="n">
        <v>5708.42</v>
      </c>
      <c r="E19" s="30" t="n">
        <f aca="false">IF(D19="","",D19*12)</f>
        <v>68501.04</v>
      </c>
      <c r="F19" s="31" t="n">
        <v>5</v>
      </c>
      <c r="G19" s="32" t="s">
        <v>610</v>
      </c>
      <c r="H19" s="32"/>
      <c r="I19" s="32"/>
      <c r="J19" s="32"/>
    </row>
    <row r="20" customFormat="false" ht="23.85" hidden="false" customHeight="true" outlineLevel="0" collapsed="false">
      <c r="A20" s="27" t="s">
        <v>611</v>
      </c>
      <c r="B20" s="28" t="s">
        <v>612</v>
      </c>
      <c r="C20" s="28" t="s">
        <v>444</v>
      </c>
      <c r="D20" s="33"/>
      <c r="E20" s="30" t="str">
        <f aca="false">IF(D20="","",D20*12)</f>
        <v/>
      </c>
      <c r="F20" s="31" t="n">
        <v>0.5</v>
      </c>
      <c r="G20" s="32" t="s">
        <v>613</v>
      </c>
      <c r="H20" s="32"/>
      <c r="I20" s="32"/>
      <c r="J20" s="32"/>
    </row>
    <row r="21" customFormat="false" ht="15" hidden="false" customHeight="false" outlineLevel="0" collapsed="false">
      <c r="A21" s="34" t="s">
        <v>284</v>
      </c>
      <c r="B21" s="34"/>
      <c r="C21" s="34"/>
      <c r="D21" s="34"/>
      <c r="E21" s="35" t="n">
        <f aca="false">IF(SUMPRODUCT(E18:E20,F18:F20)=0,"",SUMPRODUCT(E18:E20,F18:F20))</f>
        <v>622736.58</v>
      </c>
      <c r="F21" s="36"/>
      <c r="G21" s="36"/>
      <c r="H21" s="36"/>
      <c r="I21" s="36"/>
      <c r="J21" s="36"/>
    </row>
    <row r="22" customFormat="false" ht="15" hidden="false" customHeight="false" outlineLevel="0" collapsed="false">
      <c r="A22" s="81" t="s">
        <v>483</v>
      </c>
      <c r="B22" s="81"/>
      <c r="C22" s="81"/>
      <c r="D22" s="81"/>
      <c r="E22" s="81"/>
      <c r="F22" s="81"/>
      <c r="G22" s="81"/>
      <c r="H22" s="81"/>
      <c r="I22" s="81"/>
      <c r="J22" s="81"/>
    </row>
    <row r="24" customFormat="false" ht="15" hidden="false" customHeight="false" outlineLevel="0" collapsed="false">
      <c r="A24" s="25" t="s">
        <v>286</v>
      </c>
    </row>
    <row r="25" customFormat="false" ht="15" hidden="false" customHeight="true" outlineLevel="0" collapsed="false">
      <c r="A25" s="22" t="s">
        <v>287</v>
      </c>
      <c r="B25" s="22"/>
      <c r="C25" s="22"/>
      <c r="D25" s="35" t="n">
        <v>62273.64</v>
      </c>
      <c r="E25" s="36"/>
      <c r="F25" s="36"/>
      <c r="G25" s="36"/>
      <c r="H25" s="36"/>
      <c r="I25" s="36"/>
      <c r="J25" s="36"/>
    </row>
    <row r="26" customFormat="false" ht="15" hidden="false" customHeight="true" outlineLevel="0" collapsed="false">
      <c r="A26" s="22" t="s">
        <v>288</v>
      </c>
      <c r="B26" s="22"/>
      <c r="C26" s="22"/>
      <c r="D26" s="38" t="n">
        <v>0.0305021180491692</v>
      </c>
      <c r="E26" s="39" t="s">
        <v>289</v>
      </c>
      <c r="F26" s="39"/>
      <c r="G26" s="39"/>
      <c r="H26" s="39"/>
      <c r="I26" s="39"/>
      <c r="J26" s="39"/>
    </row>
    <row r="27" customFormat="false" ht="15" hidden="false" customHeight="true" outlineLevel="0" collapsed="false">
      <c r="A27" s="22" t="s">
        <v>614</v>
      </c>
      <c r="B27" s="22"/>
      <c r="C27" s="22"/>
      <c r="D27" s="35" t="n">
        <v>28361.8</v>
      </c>
      <c r="E27" s="39" t="s">
        <v>291</v>
      </c>
      <c r="F27" s="39"/>
      <c r="G27" s="39"/>
      <c r="H27" s="39"/>
      <c r="I27" s="39"/>
      <c r="J27" s="39"/>
    </row>
    <row r="28" customFormat="false" ht="15" hidden="false" customHeight="true" outlineLevel="0" collapsed="false">
      <c r="A28" s="22" t="s">
        <v>292</v>
      </c>
      <c r="B28" s="22"/>
      <c r="C28" s="22"/>
      <c r="D28" s="35" t="n">
        <v>0</v>
      </c>
      <c r="E28" s="36"/>
      <c r="F28" s="36"/>
      <c r="G28" s="36"/>
      <c r="H28" s="36"/>
      <c r="I28" s="36"/>
      <c r="J28" s="36"/>
    </row>
    <row r="29" customFormat="false" ht="15" hidden="false" customHeight="true" outlineLevel="0" collapsed="false">
      <c r="A29" s="22" t="s">
        <v>293</v>
      </c>
      <c r="B29" s="22"/>
      <c r="C29" s="22"/>
      <c r="D29" s="35" t="n">
        <v>90635.44</v>
      </c>
      <c r="E29" s="36"/>
      <c r="F29" s="36"/>
      <c r="G29" s="36"/>
      <c r="H29" s="36"/>
      <c r="I29" s="36"/>
      <c r="J29" s="36"/>
    </row>
    <row r="30" customFormat="false" ht="15" hidden="false" customHeight="true" outlineLevel="0" collapsed="false">
      <c r="A30" s="22" t="s">
        <v>294</v>
      </c>
      <c r="B30" s="22"/>
      <c r="C30" s="22"/>
      <c r="D30" s="38" t="n">
        <v>0.0443939504791817</v>
      </c>
      <c r="E30" s="39" t="s">
        <v>295</v>
      </c>
      <c r="F30" s="39"/>
      <c r="G30" s="39"/>
      <c r="H30" s="39"/>
      <c r="I30" s="39"/>
      <c r="J30" s="39"/>
    </row>
    <row r="31" customFormat="false" ht="27.75" hidden="false" customHeight="true" outlineLevel="0" collapsed="false">
      <c r="A31" s="40" t="s">
        <v>615</v>
      </c>
      <c r="B31" s="40"/>
      <c r="C31" s="40"/>
      <c r="D31" s="40"/>
      <c r="E31" s="40"/>
      <c r="F31" s="40"/>
      <c r="G31" s="40"/>
      <c r="H31" s="40"/>
      <c r="I31" s="40"/>
      <c r="J31" s="40"/>
    </row>
    <row r="32" customFormat="false" ht="15" hidden="false" customHeight="false" outlineLevel="0" collapsed="false">
      <c r="A32" s="41" t="s">
        <v>616</v>
      </c>
      <c r="B32" s="41"/>
      <c r="C32" s="41"/>
      <c r="D32" s="41"/>
      <c r="E32" s="41"/>
      <c r="F32" s="41"/>
      <c r="G32" s="41"/>
      <c r="H32" s="41"/>
      <c r="I32" s="41"/>
      <c r="J32" s="41"/>
    </row>
    <row r="34" customFormat="false" ht="15" hidden="false" customHeight="false" outlineLevel="0" collapsed="false">
      <c r="A34" s="25" t="s">
        <v>298</v>
      </c>
    </row>
    <row r="35" customFormat="false" ht="15" hidden="false" customHeight="true" outlineLevel="0" collapsed="false">
      <c r="A35" s="22" t="s">
        <v>299</v>
      </c>
      <c r="B35" s="22"/>
      <c r="C35" s="22"/>
      <c r="D35" s="42" t="n">
        <v>0</v>
      </c>
      <c r="E35" s="43" t="s">
        <v>300</v>
      </c>
      <c r="F35" s="43"/>
      <c r="G35" s="43"/>
      <c r="H35" s="43"/>
      <c r="I35" s="43"/>
      <c r="J35" s="43"/>
    </row>
    <row r="36" customFormat="false" ht="15" hidden="false" customHeight="true" outlineLevel="0" collapsed="false">
      <c r="A36" s="22" t="s">
        <v>301</v>
      </c>
      <c r="B36" s="22"/>
      <c r="C36" s="22"/>
      <c r="D36" s="34" t="s">
        <v>302</v>
      </c>
      <c r="E36" s="43" t="s">
        <v>303</v>
      </c>
      <c r="F36" s="43"/>
      <c r="G36" s="43"/>
      <c r="H36" s="43"/>
      <c r="I36" s="43"/>
      <c r="J36" s="43"/>
    </row>
    <row r="37" customFormat="false" ht="15" hidden="false" customHeight="true" outlineLevel="0" collapsed="false">
      <c r="A37" s="22" t="s">
        <v>304</v>
      </c>
      <c r="B37" s="22"/>
      <c r="C37" s="22"/>
      <c r="D37" s="44"/>
      <c r="E37" s="43" t="s">
        <v>305</v>
      </c>
      <c r="F37" s="43"/>
      <c r="G37" s="43"/>
      <c r="H37" s="43"/>
      <c r="I37" s="43"/>
      <c r="J37" s="43"/>
    </row>
    <row r="38" customFormat="false" ht="23.85" hidden="false" customHeight="true" outlineLevel="0" collapsed="false">
      <c r="A38" s="22" t="s">
        <v>306</v>
      </c>
      <c r="B38" s="22"/>
      <c r="C38" s="22"/>
      <c r="D38" s="45" t="str">
        <f aca="false">IF(OR($D$35="",E18=""),"",IF($D$35=0,"— (no % rent)",E18/$D$35))</f>
        <v>— (no % rent)</v>
      </c>
      <c r="E38" s="43" t="s">
        <v>307</v>
      </c>
      <c r="F38" s="43"/>
      <c r="G38" s="43"/>
      <c r="H38" s="43"/>
      <c r="I38" s="43"/>
      <c r="J38" s="43"/>
    </row>
    <row r="39" customFormat="false" ht="23.85" hidden="false" customHeight="true" outlineLevel="0" collapsed="false">
      <c r="A39" s="22" t="s">
        <v>308</v>
      </c>
      <c r="B39" s="22"/>
      <c r="C39" s="22"/>
      <c r="D39" s="45" t="str">
        <f aca="false">IF($D$35="","",IF($D$35=0,"— (no % rent)",IF($D$37&lt;&gt;"",$D$37,IF(E18="","",E18/$D$35))))</f>
        <v>— (no % rent)</v>
      </c>
      <c r="E39" s="36"/>
      <c r="F39" s="36"/>
      <c r="G39" s="36"/>
      <c r="H39" s="36"/>
      <c r="I39" s="36"/>
      <c r="J39" s="36"/>
    </row>
    <row r="40" customFormat="false" ht="15" hidden="false" customHeight="true" outlineLevel="0" collapsed="false">
      <c r="A40" s="22" t="s">
        <v>309</v>
      </c>
      <c r="B40" s="22"/>
      <c r="C40" s="22"/>
      <c r="D40" s="45" t="n">
        <f aca="false">IF(OR($D$35="",D13=""),"",IF($D$35=0,0,IF($D$39="","",MAX(0,D13-$D$39)*$D$35)))</f>
        <v>0</v>
      </c>
      <c r="E40" s="36"/>
      <c r="F40" s="36"/>
      <c r="G40" s="36"/>
      <c r="H40" s="36"/>
      <c r="I40" s="36"/>
      <c r="J40" s="36"/>
    </row>
    <row r="41" customFormat="false" ht="15" hidden="false" customHeight="true" outlineLevel="0" collapsed="false">
      <c r="A41" s="22" t="s">
        <v>310</v>
      </c>
      <c r="B41" s="22"/>
      <c r="C41" s="22"/>
      <c r="D41" s="45" t="n">
        <f aca="false">IF(OR(D40="",E18=""),"",E18+D40)</f>
        <v>62273.64</v>
      </c>
      <c r="E41" s="36"/>
      <c r="F41" s="36"/>
      <c r="G41" s="36"/>
      <c r="H41" s="36"/>
      <c r="I41" s="36"/>
      <c r="J41" s="36"/>
    </row>
    <row r="42" customFormat="false" ht="15" hidden="false" customHeight="true" outlineLevel="0" collapsed="false">
      <c r="A42" s="22" t="s">
        <v>311</v>
      </c>
      <c r="B42" s="22"/>
      <c r="C42" s="22"/>
      <c r="D42" s="46" t="n">
        <f aca="false">IF(OR(D41="",D13=""),"",D41/D13)</f>
        <v>0.0305021180491692</v>
      </c>
      <c r="E42" s="36"/>
      <c r="F42" s="36"/>
      <c r="G42" s="36"/>
      <c r="H42" s="36"/>
      <c r="I42" s="36"/>
      <c r="J42" s="36"/>
    </row>
    <row r="44" customFormat="false" ht="15" hidden="false" customHeight="false" outlineLevel="0" collapsed="false">
      <c r="A44" s="25" t="s">
        <v>312</v>
      </c>
    </row>
    <row r="45" customFormat="false" ht="22.35" hidden="false" customHeight="false" outlineLevel="0" collapsed="false">
      <c r="A45" s="26" t="s">
        <v>313</v>
      </c>
      <c r="B45" s="26" t="s">
        <v>314</v>
      </c>
      <c r="C45" s="26" t="s">
        <v>315</v>
      </c>
      <c r="D45" s="26" t="s">
        <v>316</v>
      </c>
      <c r="E45" s="26" t="s">
        <v>317</v>
      </c>
      <c r="F45" s="26" t="s">
        <v>318</v>
      </c>
      <c r="G45" s="26" t="s">
        <v>319</v>
      </c>
      <c r="H45" s="26" t="s">
        <v>269</v>
      </c>
      <c r="I45" s="26" t="s">
        <v>320</v>
      </c>
      <c r="J45" s="26" t="s">
        <v>321</v>
      </c>
    </row>
    <row r="46" customFormat="false" ht="22.35" hidden="false" customHeight="false" outlineLevel="0" collapsed="false">
      <c r="A46" s="48"/>
      <c r="B46" s="47" t="s">
        <v>422</v>
      </c>
      <c r="C46" s="48"/>
      <c r="D46" s="48"/>
      <c r="E46" s="48"/>
      <c r="F46" s="48"/>
      <c r="G46" s="48"/>
      <c r="H46" s="48"/>
      <c r="I46" s="48"/>
      <c r="J46" s="47" t="s">
        <v>423</v>
      </c>
    </row>
    <row r="47" customFormat="false" ht="15" hidden="false" customHeight="false" outlineLevel="0" collapsed="false">
      <c r="A47" s="52" t="s">
        <v>344</v>
      </c>
      <c r="B47" s="52"/>
      <c r="C47" s="52"/>
      <c r="D47" s="52"/>
      <c r="E47" s="52"/>
      <c r="F47" s="52"/>
      <c r="G47" s="52"/>
      <c r="H47" s="53" t="str">
        <f aca="false">IF(COUNT(H46:H46)=0,"",AVERAGE(H46:H46))</f>
        <v/>
      </c>
      <c r="I47" s="52" t="str">
        <f aca="false">IF(COUNT(H46:H46)=0,"",TEXT(MIN(H46:H46),"$#,##0")&amp;" – "&amp;TEXT(MAX(H46:H46),"$#,##0"))</f>
        <v/>
      </c>
      <c r="J47" s="36"/>
    </row>
    <row r="49" customFormat="false" ht="15" hidden="false" customHeight="false" outlineLevel="0" collapsed="false">
      <c r="A49" s="25" t="s">
        <v>345</v>
      </c>
    </row>
    <row r="50" customFormat="false" ht="53.7" hidden="false" customHeight="true" outlineLevel="0" collapsed="false">
      <c r="A50" s="26" t="s">
        <v>346</v>
      </c>
      <c r="B50" s="26"/>
      <c r="C50" s="26"/>
      <c r="D50" s="26" t="s">
        <v>347</v>
      </c>
      <c r="E50" s="26" t="s">
        <v>348</v>
      </c>
      <c r="F50" s="26" t="s">
        <v>349</v>
      </c>
      <c r="G50" s="26" t="s">
        <v>350</v>
      </c>
      <c r="H50" s="54" t="s">
        <v>351</v>
      </c>
    </row>
    <row r="51" customFormat="false" ht="68.65" hidden="false" customHeight="true" outlineLevel="0" collapsed="false">
      <c r="A51" s="22" t="s">
        <v>352</v>
      </c>
      <c r="B51" s="22"/>
      <c r="C51" s="22"/>
      <c r="D51" s="55" t="s">
        <v>353</v>
      </c>
      <c r="E51" s="56"/>
      <c r="F51" s="56"/>
      <c r="G51" s="56"/>
      <c r="H51" s="56"/>
    </row>
    <row r="52" customFormat="false" ht="15" hidden="false" customHeight="true" outlineLevel="0" collapsed="false">
      <c r="A52" s="22" t="s">
        <v>354</v>
      </c>
      <c r="B52" s="22"/>
      <c r="C52" s="22"/>
      <c r="D52" s="57" t="n">
        <v>62274</v>
      </c>
      <c r="E52" s="57"/>
      <c r="F52" s="57"/>
      <c r="G52" s="57"/>
      <c r="H52" s="57"/>
    </row>
    <row r="53" customFormat="false" ht="15" hidden="false" customHeight="true" outlineLevel="0" collapsed="false">
      <c r="A53" s="22" t="s">
        <v>355</v>
      </c>
      <c r="B53" s="22"/>
      <c r="C53" s="22"/>
      <c r="D53" s="82" t="n">
        <v>0.02</v>
      </c>
      <c r="E53" s="58"/>
      <c r="F53" s="58"/>
      <c r="G53" s="58"/>
      <c r="H53" s="58"/>
    </row>
    <row r="54" customFormat="false" ht="15" hidden="false" customHeight="true" outlineLevel="0" collapsed="false">
      <c r="A54" s="22" t="s">
        <v>356</v>
      </c>
      <c r="B54" s="22"/>
      <c r="C54" s="22"/>
      <c r="D54" s="56" t="n">
        <v>5</v>
      </c>
      <c r="E54" s="56"/>
      <c r="F54" s="56"/>
      <c r="G54" s="56"/>
      <c r="H54" s="56"/>
    </row>
    <row r="55" customFormat="false" ht="15" hidden="false" customHeight="true" outlineLevel="0" collapsed="false">
      <c r="A55" s="22" t="s">
        <v>357</v>
      </c>
      <c r="B55" s="22"/>
      <c r="C55" s="22"/>
      <c r="D55" s="59" t="n">
        <v>20</v>
      </c>
      <c r="E55" s="59"/>
      <c r="F55" s="59"/>
      <c r="G55" s="59"/>
      <c r="H55" s="59"/>
    </row>
    <row r="56" customFormat="false" ht="15" hidden="false" customHeight="true" outlineLevel="0" collapsed="false">
      <c r="A56" s="22" t="s">
        <v>358</v>
      </c>
      <c r="B56" s="22"/>
      <c r="C56" s="22"/>
      <c r="D56" s="60" t="n">
        <f aca="false">IF(OR(D52="",E18=""),"",D52-E18)</f>
        <v>0.360000000000582</v>
      </c>
      <c r="E56" s="60" t="str">
        <f aca="false">IF(OR(E52="",E18=""),"",E52-E18)</f>
        <v/>
      </c>
      <c r="F56" s="60" t="str">
        <f aca="false">IF(OR(F52="",E18=""),"",F52-E18)</f>
        <v/>
      </c>
      <c r="G56" s="60" t="str">
        <f aca="false">IF(OR(G52="",E18=""),"",G52-E18)</f>
        <v/>
      </c>
      <c r="H56" s="60" t="str">
        <f aca="false">IF(OR(H52="",E18=""),"",H52-E18)</f>
        <v/>
      </c>
    </row>
    <row r="57" customFormat="false" ht="15" hidden="false" customHeight="true" outlineLevel="0" collapsed="false">
      <c r="A57" s="22" t="s">
        <v>359</v>
      </c>
      <c r="B57" s="22"/>
      <c r="C57" s="22"/>
      <c r="D57" s="61" t="n">
        <f aca="false">IF(OR(D52="",E18=""),"",(D52-E18)/E18)</f>
        <v>5.78093716700328E-006</v>
      </c>
      <c r="E57" s="61" t="str">
        <f aca="false">IF(OR(E52="",E18=""),"",(E52-E18)/E18)</f>
        <v/>
      </c>
      <c r="F57" s="61" t="str">
        <f aca="false">IF(OR(F52="",E18=""),"",(F52-E18)/E18)</f>
        <v/>
      </c>
      <c r="G57" s="61" t="str">
        <f aca="false">IF(OR(G52="",E18=""),"",(G52-E18)/E18)</f>
        <v/>
      </c>
      <c r="H57" s="61" t="str">
        <f aca="false">IF(OR(H52="",E18=""),"",(H52-E18)/E18)</f>
        <v/>
      </c>
    </row>
    <row r="58" customFormat="false" ht="15" hidden="false" customHeight="true" outlineLevel="0" collapsed="false">
      <c r="A58" s="22" t="s">
        <v>360</v>
      </c>
      <c r="B58" s="22"/>
      <c r="C58" s="22"/>
      <c r="D58" s="62" t="n">
        <f aca="false">IF(OR(D52="",D13=""),"",D52/D13)</f>
        <v>0.0305022943799971</v>
      </c>
      <c r="E58" s="62" t="str">
        <f aca="false">IF(OR(E52="",D13=""),"",E52/D13)</f>
        <v/>
      </c>
      <c r="F58" s="62" t="str">
        <f aca="false">IF(OR(F52="",D13=""),"",F52/D13)</f>
        <v/>
      </c>
      <c r="G58" s="62" t="str">
        <f aca="false">IF(OR(G52="",D13=""),"",G52/D13)</f>
        <v/>
      </c>
      <c r="H58" s="62" t="str">
        <f aca="false">IF(OR(H52="",D13=""),"",H52/D13)</f>
        <v/>
      </c>
    </row>
    <row r="59" customFormat="false" ht="15" hidden="false" customHeight="true" outlineLevel="0" collapsed="false">
      <c r="A59" s="22" t="s">
        <v>361</v>
      </c>
      <c r="B59" s="22"/>
      <c r="C59" s="22"/>
      <c r="D59" s="61" t="str">
        <f aca="false">IF(OR(D52="",H47=""),"",(D52-H47)/H47)</f>
        <v/>
      </c>
      <c r="E59" s="61" t="str">
        <f aca="false">IF(OR(E52="",H47=""),"",(E52-H47)/H47)</f>
        <v/>
      </c>
      <c r="F59" s="61" t="str">
        <f aca="false">IF(OR(F52="",H47=""),"",(F52-H47)/H47)</f>
        <v/>
      </c>
      <c r="G59" s="61" t="str">
        <f aca="false">IF(OR(G52="",H47=""),"",(G52-H47)/H47)</f>
        <v/>
      </c>
      <c r="H59" s="61" t="str">
        <f aca="false">IF(OR(H52="",H47=""),"",(H52-H47)/H47)</f>
        <v/>
      </c>
    </row>
    <row r="60" customFormat="false" ht="15" hidden="false" customHeight="true" outlineLevel="0" collapsed="false">
      <c r="A60" s="22" t="s">
        <v>362</v>
      </c>
      <c r="B60" s="22"/>
      <c r="C60" s="22"/>
      <c r="D60" s="63" t="n">
        <f aca="true">IF(D52="","",SUMPRODUCT(D52*(1+IF(D53="",0,D53))^ROUNDDOWN((ROW(INDIRECT("1:10"))-1)/IF(D54="",5,D54),0)))</f>
        <v>628967.4</v>
      </c>
      <c r="E60" s="63" t="str">
        <f aca="true">IF(E52="","",SUMPRODUCT(E52*(1+IF(E53="",0,E53))^ROUNDDOWN((ROW(INDIRECT("1:10"))-1)/IF(E54="",5,E54),0)))</f>
        <v/>
      </c>
      <c r="F60" s="63" t="str">
        <f aca="true">IF(F52="","",SUMPRODUCT(F52*(1+IF(F53="",0,F53))^ROUNDDOWN((ROW(INDIRECT("1:10"))-1)/IF(F54="",5,F54),0)))</f>
        <v/>
      </c>
      <c r="G60" s="63" t="str">
        <f aca="true">IF(G52="","",SUMPRODUCT(G52*(1+IF(G53="",0,G53))^ROUNDDOWN((ROW(INDIRECT("1:10"))-1)/IF(G54="",5,G54),0)))</f>
        <v/>
      </c>
      <c r="H60" s="63" t="str">
        <f aca="true">IF(H52="","",SUMPRODUCT(H52*(1+IF(H53="",0,H53))^ROUNDDOWN((ROW(INDIRECT("1:10"))-1)/IF(H54="",5,H54),0)))</f>
        <v/>
      </c>
    </row>
    <row r="61" customFormat="false" ht="15" hidden="false" customHeight="true" outlineLevel="0" collapsed="false">
      <c r="A61" s="22" t="s">
        <v>363</v>
      </c>
      <c r="B61" s="22"/>
      <c r="C61" s="22"/>
      <c r="D61" s="60" t="n">
        <f aca="false">IF(OR(D60="",E21=""),"",D60-E21)</f>
        <v>6230.81999999995</v>
      </c>
      <c r="E61" s="60" t="str">
        <f aca="false">IF(OR(E60="",E21=""),"",E60-E21)</f>
        <v/>
      </c>
      <c r="F61" s="60" t="str">
        <f aca="false">IF(OR(F60="",E21=""),"",F60-E21)</f>
        <v/>
      </c>
      <c r="G61" s="60" t="str">
        <f aca="false">IF(OR(G60="",E21=""),"",G60-E21)</f>
        <v/>
      </c>
      <c r="H61" s="60" t="str">
        <f aca="false">IF(OR(H60="",E21=""),"",H60-E21)</f>
        <v/>
      </c>
    </row>
    <row r="62" customFormat="false" ht="23.85" hidden="false" customHeight="true" outlineLevel="0" collapsed="false">
      <c r="A62" s="22" t="s">
        <v>364</v>
      </c>
      <c r="B62" s="22"/>
      <c r="C62" s="22"/>
      <c r="D62" s="58"/>
      <c r="E62" s="58"/>
      <c r="F62" s="58"/>
      <c r="G62" s="58"/>
      <c r="H62" s="58"/>
    </row>
    <row r="63" customFormat="false" ht="23.85" hidden="false" customHeight="true" outlineLevel="0" collapsed="false">
      <c r="A63" s="22" t="s">
        <v>365</v>
      </c>
      <c r="B63" s="22"/>
      <c r="C63" s="22"/>
      <c r="D63" s="57"/>
      <c r="E63" s="57"/>
      <c r="F63" s="57"/>
      <c r="G63" s="57"/>
      <c r="H63" s="57"/>
    </row>
    <row r="64" customFormat="false" ht="15" hidden="false" customHeight="true" outlineLevel="0" collapsed="false">
      <c r="A64" s="22" t="s">
        <v>366</v>
      </c>
      <c r="B64" s="22"/>
      <c r="C64" s="22"/>
      <c r="D64" s="63" t="str">
        <f aca="false">IF(OR(D52="",AND(D62="",$D$35="")),"",IF(IF(D62="",IF($D$35="",0,$D$35),D62)=0,"— (% rent removed)",IF(D63&lt;&gt;"",D63,IF($D$37&lt;&gt;"",$D$37,D52/IF(D62="",IF($D$35="",0,$D$35),D62)))))</f>
        <v>— (% rent removed)</v>
      </c>
      <c r="E64" s="63" t="str">
        <f aca="false">IF(OR(E52="",AND(E62="",$D$35="")),"",IF(IF(E62="",IF($D$35="",0,$D$35),E62)=0,"— (% rent removed)",IF(E63&lt;&gt;"",E63,IF($D$37&lt;&gt;"",$D$37,E52/IF(E62="",IF($D$35="",0,$D$35),E62)))))</f>
        <v/>
      </c>
      <c r="F64" s="63" t="str">
        <f aca="false">IF(OR(F52="",AND(F62="",$D$35="")),"",IF(IF(F62="",IF($D$35="",0,$D$35),F62)=0,"— (% rent removed)",IF(F63&lt;&gt;"",F63,IF($D$37&lt;&gt;"",$D$37,F52/IF(F62="",IF($D$35="",0,$D$35),F62)))))</f>
        <v/>
      </c>
      <c r="G64" s="63" t="str">
        <f aca="false">IF(OR(G52="",AND(G62="",$D$35="")),"",IF(IF(G62="",IF($D$35="",0,$D$35),G62)=0,"— (% rent removed)",IF(G63&lt;&gt;"",G63,IF($D$37&lt;&gt;"",$D$37,G52/IF(G62="",IF($D$35="",0,$D$35),G62)))))</f>
        <v/>
      </c>
      <c r="H64" s="63" t="str">
        <f aca="false">IF(OR(H52="",AND(H62="",$D$35="")),"",IF(IF(H62="",IF($D$35="",0,$D$35),H62)=0,"— (% rent removed)",IF(H63&lt;&gt;"",H63,IF($D$37&lt;&gt;"",$D$37,H52/IF(H62="",IF($D$35="",0,$D$35),H62)))))</f>
        <v/>
      </c>
    </row>
    <row r="65" customFormat="false" ht="15" hidden="false" customHeight="true" outlineLevel="0" collapsed="false">
      <c r="A65" s="22" t="s">
        <v>367</v>
      </c>
      <c r="B65" s="22"/>
      <c r="C65" s="22"/>
      <c r="D65" s="63" t="n">
        <f aca="false">IF(OR(D52="",AND(D62="",$D$35=""),D13=""),"",IF(IF(D62="",IF($D$35="",0,$D$35),D62)=0,0,MAX(0,D13-D64)*IF(D62="",IF($D$35="",0,$D$35),D62)))</f>
        <v>0</v>
      </c>
      <c r="E65" s="63" t="str">
        <f aca="false">IF(OR(E52="",AND(E62="",$D$35=""),D13=""),"",IF(IF(E62="",IF($D$35="",0,$D$35),E62)=0,0,MAX(0,D13-E64)*IF(E62="",IF($D$35="",0,$D$35),E62)))</f>
        <v/>
      </c>
      <c r="F65" s="63" t="str">
        <f aca="false">IF(OR(F52="",AND(F62="",$D$35=""),D13=""),"",IF(IF(F62="",IF($D$35="",0,$D$35),F62)=0,0,MAX(0,D13-F64)*IF(F62="",IF($D$35="",0,$D$35),F62)))</f>
        <v/>
      </c>
      <c r="G65" s="63" t="str">
        <f aca="false">IF(OR(G52="",AND(G62="",$D$35=""),D13=""),"",IF(IF(G62="",IF($D$35="",0,$D$35),G62)=0,0,MAX(0,D13-G64)*IF(G62="",IF($D$35="",0,$D$35),G62)))</f>
        <v/>
      </c>
      <c r="H65" s="63" t="str">
        <f aca="false">IF(OR(H52="",AND(H62="",$D$35=""),D13=""),"",IF(IF(H62="",IF($D$35="",0,$D$35),H62)=0,0,MAX(0,D13-H64)*IF(H62="",IF($D$35="",0,$D$35),H62)))</f>
        <v/>
      </c>
    </row>
    <row r="66" customFormat="false" ht="15" hidden="false" customHeight="true" outlineLevel="0" collapsed="false">
      <c r="A66" s="22" t="s">
        <v>368</v>
      </c>
      <c r="B66" s="22"/>
      <c r="C66" s="22"/>
      <c r="D66" s="63" t="n">
        <f aca="false">IF(OR(D52="",D65=""),"",D52+D65)</f>
        <v>62274</v>
      </c>
      <c r="E66" s="63" t="str">
        <f aca="false">IF(OR(E52="",E65=""),"",E52+E65)</f>
        <v/>
      </c>
      <c r="F66" s="63" t="str">
        <f aca="false">IF(OR(F52="",F65=""),"",F52+F65)</f>
        <v/>
      </c>
      <c r="G66" s="63" t="str">
        <f aca="false">IF(OR(G52="",G65=""),"",G52+G65)</f>
        <v/>
      </c>
      <c r="H66" s="63" t="str">
        <f aca="false">IF(OR(H52="",H65=""),"",H52+H65)</f>
        <v/>
      </c>
    </row>
    <row r="67" customFormat="false" ht="15" hidden="false" customHeight="true" outlineLevel="0" collapsed="false">
      <c r="A67" s="22" t="s">
        <v>369</v>
      </c>
      <c r="B67" s="22"/>
      <c r="C67" s="22"/>
      <c r="D67" s="62" t="n">
        <f aca="false">IF(OR(D66="",D13=""),"",D66/D13)</f>
        <v>0.0305022943799971</v>
      </c>
      <c r="E67" s="62" t="str">
        <f aca="false">IF(OR(E66="",D13=""),"",E66/D13)</f>
        <v/>
      </c>
      <c r="F67" s="62" t="str">
        <f aca="false">IF(OR(F66="",D13=""),"",F66/D13)</f>
        <v/>
      </c>
      <c r="G67" s="62" t="str">
        <f aca="false">IF(OR(G66="",D13=""),"",G66/D13)</f>
        <v/>
      </c>
      <c r="H67" s="62" t="str">
        <f aca="false">IF(OR(H66="",D13=""),"",H66/D13)</f>
        <v/>
      </c>
    </row>
    <row r="68" customFormat="false" ht="23.85" hidden="false" customHeight="true" outlineLevel="0" collapsed="false">
      <c r="A68" s="22" t="s">
        <v>370</v>
      </c>
      <c r="B68" s="22"/>
      <c r="C68" s="22"/>
      <c r="D68" s="64" t="n">
        <f aca="false">IF(D66="","",(518798.8-D66)/2041616.91)</f>
        <v>0.22360943317226</v>
      </c>
      <c r="E68" s="64" t="str">
        <f aca="false">IF(E66="","",(518798.8-E66)/2041616.91)</f>
        <v/>
      </c>
      <c r="F68" s="64" t="str">
        <f aca="false">IF(F66="","",(518798.8-F66)/2041616.91)</f>
        <v/>
      </c>
      <c r="G68" s="64" t="str">
        <f aca="false">IF(G66="","",(518798.8-G66)/2041616.91)</f>
        <v/>
      </c>
      <c r="H68" s="64" t="str">
        <f aca="false">IF(H66="","",(518798.8-H66)/2041616.91)</f>
        <v/>
      </c>
    </row>
    <row r="69" customFormat="false" ht="15" hidden="false" customHeight="true" outlineLevel="0" collapsed="false">
      <c r="A69" s="22" t="s">
        <v>371</v>
      </c>
      <c r="B69" s="22"/>
      <c r="C69" s="22"/>
      <c r="D69" s="63" t="n">
        <f aca="true">IF(OR(D52="",AND(D62="",$D$35=""),D13=""),"",IF(IF(D62="",IF($D$35="",0,$D$35),D62)=0,0,SUMPRODUCT(((D13*1.02^(ROW(INDIRECT("1:10"))-1))-(IF(D63&lt;&gt;"",D63,IF($D$37&lt;&gt;"",$D$37,(D52*(1+IF(D53="",0,D53))^ROUNDDOWN((ROW(INDIRECT("1:10"))-1)/IF(D54="",5,D54),0))/IF(D62="",IF($D$35="",0,$D$35),D62))))&gt;0)*((D13*1.02^(ROW(INDIRECT("1:10"))-1))-(IF(D63&lt;&gt;"",D63,IF($D$37&lt;&gt;"",$D$37,(D52*(1+IF(D53="",0,D53))^ROUNDDOWN((ROW(INDIRECT("1:10"))-1)/IF(D54="",5,D54),0))/IF(D62="",IF($D$35="",0,$D$35),D62))))))*IF(D62="",IF($D$35="",0,$D$35),D62)))</f>
        <v>0</v>
      </c>
      <c r="E69" s="63" t="str">
        <f aca="true">IF(OR(E52="",AND(E62="",$D$35=""),D13=""),"",IF(IF(E62="",IF($D$35="",0,$D$35),E62)=0,0,SUMPRODUCT(((D13*1.02^(ROW(INDIRECT("1:10"))-1))-(IF(E63&lt;&gt;"",E63,IF($D$37&lt;&gt;"",$D$37,(E52*(1+IF(E53="",0,E53))^ROUNDDOWN((ROW(INDIRECT("1:10"))-1)/IF(E54="",5,E54),0))/IF(E62="",IF($D$35="",0,$D$35),E62))))&gt;0)*((D13*1.02^(ROW(INDIRECT("1:10"))-1))-(IF(E63&lt;&gt;"",E63,IF($D$37&lt;&gt;"",$D$37,(E52*(1+IF(E53="",0,E53))^ROUNDDOWN((ROW(INDIRECT("1:10"))-1)/IF(E54="",5,E54),0))/IF(E62="",IF($D$35="",0,$D$35),E62))))))*IF(E62="",IF($D$35="",0,$D$35),E62)))</f>
        <v/>
      </c>
      <c r="F69" s="63" t="str">
        <f aca="true">IF(OR(F52="",AND(F62="",$D$35=""),D13=""),"",IF(IF(F62="",IF($D$35="",0,$D$35),F62)=0,0,SUMPRODUCT(((D13*1.02^(ROW(INDIRECT("1:10"))-1))-(IF(F63&lt;&gt;"",F63,IF($D$37&lt;&gt;"",$D$37,(F52*(1+IF(F53="",0,F53))^ROUNDDOWN((ROW(INDIRECT("1:10"))-1)/IF(F54="",5,F54),0))/IF(F62="",IF($D$35="",0,$D$35),F62))))&gt;0)*((D13*1.02^(ROW(INDIRECT("1:10"))-1))-(IF(F63&lt;&gt;"",F63,IF($D$37&lt;&gt;"",$D$37,(F52*(1+IF(F53="",0,F53))^ROUNDDOWN((ROW(INDIRECT("1:10"))-1)/IF(F54="",5,F54),0))/IF(F62="",IF($D$35="",0,$D$35),F62))))))*IF(F62="",IF($D$35="",0,$D$35),F62)))</f>
        <v/>
      </c>
      <c r="G69" s="63" t="str">
        <f aca="true">IF(OR(G52="",AND(G62="",$D$35=""),D13=""),"",IF(IF(G62="",IF($D$35="",0,$D$35),G62)=0,0,SUMPRODUCT(((D13*1.02^(ROW(INDIRECT("1:10"))-1))-(IF(G63&lt;&gt;"",G63,IF($D$37&lt;&gt;"",$D$37,(G52*(1+IF(G53="",0,G53))^ROUNDDOWN((ROW(INDIRECT("1:10"))-1)/IF(G54="",5,G54),0))/IF(G62="",IF($D$35="",0,$D$35),G62))))&gt;0)*((D13*1.02^(ROW(INDIRECT("1:10"))-1))-(IF(G63&lt;&gt;"",G63,IF($D$37&lt;&gt;"",$D$37,(G52*(1+IF(G53="",0,G53))^ROUNDDOWN((ROW(INDIRECT("1:10"))-1)/IF(G54="",5,G54),0))/IF(G62="",IF($D$35="",0,$D$35),G62))))))*IF(G62="",IF($D$35="",0,$D$35),G62)))</f>
        <v/>
      </c>
      <c r="H69" s="63" t="str">
        <f aca="true">IF(OR(H52="",AND(H62="",$D$35=""),D13=""),"",IF(IF(H62="",IF($D$35="",0,$D$35),H62)=0,0,SUMPRODUCT(((D13*1.02^(ROW(INDIRECT("1:10"))-1))-(IF(H63&lt;&gt;"",H63,IF($D$37&lt;&gt;"",$D$37,(H52*(1+IF(H53="",0,H53))^ROUNDDOWN((ROW(INDIRECT("1:10"))-1)/IF(H54="",5,H54),0))/IF(H62="",IF($D$35="",0,$D$35),H62))))&gt;0)*((D13*1.02^(ROW(INDIRECT("1:10"))-1))-(IF(H63&lt;&gt;"",H63,IF($D$37&lt;&gt;"",$D$37,(H52*(1+IF(H53="",0,H53))^ROUNDDOWN((ROW(INDIRECT("1:10"))-1)/IF(H54="",5,H54),0))/IF(H62="",IF($D$35="",0,$D$35),H62))))))*IF(H62="",IF($D$35="",0,$D$35),H62)))</f>
        <v/>
      </c>
    </row>
    <row r="70" customFormat="false" ht="15" hidden="false" customHeight="true" outlineLevel="0" collapsed="false">
      <c r="A70" s="22" t="s">
        <v>372</v>
      </c>
      <c r="B70" s="22"/>
      <c r="C70" s="22"/>
      <c r="D70" s="63" t="n">
        <f aca="false">IF(OR(D60="",D69=""),"",D60+D69)</f>
        <v>628967.4</v>
      </c>
      <c r="E70" s="63" t="str">
        <f aca="false">IF(OR(E60="",E69=""),"",E60+E69)</f>
        <v/>
      </c>
      <c r="F70" s="63" t="str">
        <f aca="false">IF(OR(F60="",F69=""),"",F60+F69)</f>
        <v/>
      </c>
      <c r="G70" s="63" t="str">
        <f aca="false">IF(OR(G60="",G69=""),"",G60+G69)</f>
        <v/>
      </c>
      <c r="H70" s="63" t="str">
        <f aca="false">IF(OR(H60="",H69=""),"",H60+H69)</f>
        <v/>
      </c>
    </row>
    <row r="71" customFormat="false" ht="23.85" hidden="false" customHeight="true" outlineLevel="0" collapsed="false">
      <c r="A71" s="22" t="s">
        <v>373</v>
      </c>
      <c r="B71" s="22"/>
      <c r="C71" s="22"/>
      <c r="D71" s="65" t="n">
        <f aca="true">IF(D52="","",SUMPRODUCT(D52*(1+IF(D53="",0,D53))^ROUNDDOWN((ROW(INDIRECT("1:"&amp;IF(D55="",10,D55)))-1)/IF(D54="",5,D54),0))+IF(OR(D13="",IF(D62="",IF($D$35="",0,$D$35),D62)=0),0,SUMPRODUCT(((D13*1.02^(ROW(INDIRECT("1:"&amp;IF(D55="",10,D55)))-1))-(IF(D63&lt;&gt;"",D63,IF($D$37&lt;&gt;"",$D$37,(D52*(1+IF(D53="",0,D53))^ROUNDDOWN((ROW(INDIRECT("1:"&amp;IF(D55="",10,D55)))-1)/IF(D54="",5,D54),0))/IF(D62="",IF($D$35="",0,$D$35),D62))))&gt;0)*((D13*1.02^(ROW(INDIRECT("1:"&amp;IF(D55="",10,D55)))-1))-(IF(D63&lt;&gt;"",D63,IF($D$37&lt;&gt;"",$D$37,(D52*(1+IF(D53="",0,D53))^ROUNDDOWN((ROW(INDIRECT("1:"&amp;IF(D55="",10,D55)))-1)/IF(D54="",5,D54),0))/IF(D62="",IF($D$35="",0,$D$35),D62))))))*IF(D62="",IF($D$35="",0,$D$35),D62)))</f>
        <v>1283345.08296</v>
      </c>
      <c r="E71" s="65" t="str">
        <f aca="true">IF(E52="","",SUMPRODUCT(E52*(1+IF(E53="",0,E53))^ROUNDDOWN((ROW(INDIRECT("1:"&amp;IF(E55="",10,E55)))-1)/IF(E54="",5,E54),0))+IF(OR(D13="",IF(E62="",IF($D$35="",0,$D$35),E62)=0),0,SUMPRODUCT(((D13*1.02^(ROW(INDIRECT("1:"&amp;IF(E55="",10,E55)))-1))-(IF(E63&lt;&gt;"",E63,IF($D$37&lt;&gt;"",$D$37,(E52*(1+IF(E53="",0,E53))^ROUNDDOWN((ROW(INDIRECT("1:"&amp;IF(E55="",10,E55)))-1)/IF(E54="",5,E54),0))/IF(E62="",IF($D$35="",0,$D$35),E62))))&gt;0)*((D13*1.02^(ROW(INDIRECT("1:"&amp;IF(E55="",10,E55)))-1))-(IF(E63&lt;&gt;"",E63,IF($D$37&lt;&gt;"",$D$37,(E52*(1+IF(E53="",0,E53))^ROUNDDOWN((ROW(INDIRECT("1:"&amp;IF(E55="",10,E55)))-1)/IF(E54="",5,E54),0))/IF(E62="",IF($D$35="",0,$D$35),E62))))))*IF(E62="",IF($D$35="",0,$D$35),E62)))</f>
        <v/>
      </c>
      <c r="F71" s="65" t="str">
        <f aca="true">IF(F52="","",SUMPRODUCT(F52*(1+IF(F53="",0,F53))^ROUNDDOWN((ROW(INDIRECT("1:"&amp;IF(F55="",10,F55)))-1)/IF(F54="",5,F54),0))+IF(OR(D13="",IF(F62="",IF($D$35="",0,$D$35),F62)=0),0,SUMPRODUCT(((D13*1.02^(ROW(INDIRECT("1:"&amp;IF(F55="",10,F55)))-1))-(IF(F63&lt;&gt;"",F63,IF($D$37&lt;&gt;"",$D$37,(F52*(1+IF(F53="",0,F53))^ROUNDDOWN((ROW(INDIRECT("1:"&amp;IF(F55="",10,F55)))-1)/IF(F54="",5,F54),0))/IF(F62="",IF($D$35="",0,$D$35),F62))))&gt;0)*((D13*1.02^(ROW(INDIRECT("1:"&amp;IF(F55="",10,F55)))-1))-(IF(F63&lt;&gt;"",F63,IF($D$37&lt;&gt;"",$D$37,(F52*(1+IF(F53="",0,F53))^ROUNDDOWN((ROW(INDIRECT("1:"&amp;IF(F55="",10,F55)))-1)/IF(F54="",5,F54),0))/IF(F62="",IF($D$35="",0,$D$35),F62))))))*IF(F62="",IF($D$35="",0,$D$35),F62)))</f>
        <v/>
      </c>
      <c r="G71" s="65" t="str">
        <f aca="true">IF(G52="","",SUMPRODUCT(G52*(1+IF(G53="",0,G53))^ROUNDDOWN((ROW(INDIRECT("1:"&amp;IF(G55="",10,G55)))-1)/IF(G54="",5,G54),0))+IF(OR(D13="",IF(G62="",IF($D$35="",0,$D$35),G62)=0),0,SUMPRODUCT(((D13*1.02^(ROW(INDIRECT("1:"&amp;IF(G55="",10,G55)))-1))-(IF(G63&lt;&gt;"",G63,IF($D$37&lt;&gt;"",$D$37,(G52*(1+IF(G53="",0,G53))^ROUNDDOWN((ROW(INDIRECT("1:"&amp;IF(G55="",10,G55)))-1)/IF(G54="",5,G54),0))/IF(G62="",IF($D$35="",0,$D$35),G62))))&gt;0)*((D13*1.02^(ROW(INDIRECT("1:"&amp;IF(G55="",10,G55)))-1))-(IF(G63&lt;&gt;"",G63,IF($D$37&lt;&gt;"",$D$37,(G52*(1+IF(G53="",0,G53))^ROUNDDOWN((ROW(INDIRECT("1:"&amp;IF(G55="",10,G55)))-1)/IF(G54="",5,G54),0))/IF(G62="",IF($D$35="",0,$D$35),G62))))))*IF(G62="",IF($D$35="",0,$D$35),G62)))</f>
        <v/>
      </c>
      <c r="H71" s="65" t="str">
        <f aca="true">IF(H52="","",SUMPRODUCT(H52*(1+IF(H53="",0,H53))^ROUNDDOWN((ROW(INDIRECT("1:"&amp;IF(H55="",10,H55)))-1)/IF(H54="",5,H54),0))+IF(OR(D13="",IF(H62="",IF($D$35="",0,$D$35),H62)=0),0,SUMPRODUCT(((D13*1.02^(ROW(INDIRECT("1:"&amp;IF(H55="",10,H55)))-1))-(IF(H63&lt;&gt;"",H63,IF($D$37&lt;&gt;"",$D$37,(H52*(1+IF(H53="",0,H53))^ROUNDDOWN((ROW(INDIRECT("1:"&amp;IF(H55="",10,H55)))-1)/IF(H54="",5,H54),0))/IF(H62="",IF($D$35="",0,$D$35),H62))))&gt;0)*((D13*1.02^(ROW(INDIRECT("1:"&amp;IF(H55="",10,H55)))-1))-(IF(H63&lt;&gt;"",H63,IF($D$37&lt;&gt;"",$D$37,(H52*(1+IF(H53="",0,H53))^ROUNDDOWN((ROW(INDIRECT("1:"&amp;IF(H55="",10,H55)))-1)/IF(H54="",5,H54),0))/IF(H62="",IF($D$35="",0,$D$35),H62))))))*IF(H62="",IF($D$35="",0,$D$35),H62)))</f>
        <v/>
      </c>
    </row>
    <row r="72" customFormat="false" ht="15" hidden="false" customHeight="true" outlineLevel="0" collapsed="false">
      <c r="A72" s="22" t="s">
        <v>374</v>
      </c>
      <c r="B72" s="22"/>
      <c r="C72" s="22"/>
      <c r="D72" s="62" t="n">
        <f aca="false">IF(D52="","",IF(D53="",0,(1+D53)^(5/IF(D54="",5,D54))-1))</f>
        <v>0.02</v>
      </c>
      <c r="E72" s="62" t="str">
        <f aca="false">IF(E52="","",IF(E53="",0,(1+E53)^(5/IF(E54="",5,E54))-1))</f>
        <v/>
      </c>
      <c r="F72" s="62" t="str">
        <f aca="false">IF(F52="","",IF(F53="",0,(1+F53)^(5/IF(F54="",5,F54))-1))</f>
        <v/>
      </c>
      <c r="G72" s="62" t="str">
        <f aca="false">IF(G52="","",IF(G53="",0,(1+G53)^(5/IF(G54="",5,G54))-1))</f>
        <v/>
      </c>
      <c r="H72" s="62" t="str">
        <f aca="false">IF(H52="","",IF(H53="",0,(1+H53)^(5/IF(H54="",5,H54))-1))</f>
        <v/>
      </c>
    </row>
    <row r="73" customFormat="false" ht="43.25" hidden="false" customHeight="true" outlineLevel="0" collapsed="false">
      <c r="A73" s="22" t="s">
        <v>375</v>
      </c>
      <c r="B73" s="22"/>
      <c r="C73" s="22"/>
      <c r="D73" s="66" t="str">
        <f aca="false">IF(D72="","",IF(D72&lt;=0,"REDUCTION / FLAT — ladder steps 1-2 (best)",IF(D72&lt;=0.08,"OK — within 8%/5-yr in-house authority (ladder step 3)","ABOVE 8%/5-yr — CEO SIGN-OFF REQUIRED (Rob 8/5/26)")))</f>
        <v>OK — within 8%/5-yr in-house authority (ladder step 3)</v>
      </c>
      <c r="E73" s="66" t="str">
        <f aca="false">IF(E72="","",IF(E72&lt;=0,"REDUCTION / FLAT — ladder steps 1-2 (best)",IF(E72&lt;=0.08,"OK — within 8%/5-yr in-house authority (ladder step 3)","ABOVE 8%/5-yr — CEO SIGN-OFF REQUIRED (Rob 8/5/26)")))</f>
        <v/>
      </c>
      <c r="F73" s="66" t="str">
        <f aca="false">IF(F72="","",IF(F72&lt;=0,"REDUCTION / FLAT — ladder steps 1-2 (best)",IF(F72&lt;=0.08,"OK — within 8%/5-yr in-house authority (ladder step 3)","ABOVE 8%/5-yr — CEO SIGN-OFF REQUIRED (Rob 8/5/26)")))</f>
        <v/>
      </c>
      <c r="G73" s="66" t="str">
        <f aca="false">IF(G72="","",IF(G72&lt;=0,"REDUCTION / FLAT — ladder steps 1-2 (best)",IF(G72&lt;=0.08,"OK — within 8%/5-yr in-house authority (ladder step 3)","ABOVE 8%/5-yr — CEO SIGN-OFF REQUIRED (Rob 8/5/26)")))</f>
        <v/>
      </c>
      <c r="H73" s="66" t="str">
        <f aca="false">IF(H72="","",IF(H72&lt;=0,"REDUCTION / FLAT — ladder steps 1-2 (best)",IF(H72&lt;=0.08,"OK — within 8%/5-yr in-house authority (ladder step 3)","ABOVE 8%/5-yr — CEO SIGN-OFF REQUIRED (Rob 8/5/26)")))</f>
        <v/>
      </c>
    </row>
    <row r="74" customFormat="false" ht="23.85" hidden="false" customHeight="true" outlineLevel="0" collapsed="false">
      <c r="A74" s="22" t="s">
        <v>376</v>
      </c>
      <c r="B74" s="22"/>
      <c r="C74" s="22"/>
      <c r="D74" s="62" t="n">
        <f aca="false">IF(OR(D52="",D13=""),"",((D52*(1+IF(D53="",0,D53))^ROUNDDOWN(9/IF(D54="",5,D54),0))+IF(IF(D62="",IF($D$35="",0,$D$35),D62)=0,0,MAX(0,D13*1.02^9-IF(D63&lt;&gt;"",D63,IF($D$37&lt;&gt;"",$D$37,(D52*(1+IF(D53="",0,D53))^ROUNDDOWN(9/IF(D54="",5,D54),0))/IF(D62="",IF($D$35="",0,$D$35),D62))))*IF(D62="",IF($D$35="",0,$D$35),D62)))/(D13*1.02^9))</f>
        <v>0.0260334145525338</v>
      </c>
      <c r="E74" s="62" t="str">
        <f aca="false">IF(OR(E52="",D13=""),"",((E52*(1+IF(E53="",0,E53))^ROUNDDOWN(9/IF(E54="",5,E54),0))+IF(IF(E62="",IF($D$35="",0,$D$35),E62)=0,0,MAX(0,D13*1.02^9-IF(E63&lt;&gt;"",E63,IF($D$37&lt;&gt;"",$D$37,(E52*(1+IF(E53="",0,E53))^ROUNDDOWN(9/IF(E54="",5,E54),0))/IF(E62="",IF($D$35="",0,$D$35),E62))))*IF(E62="",IF($D$35="",0,$D$35),E62)))/(D13*1.02^9))</f>
        <v/>
      </c>
      <c r="F74" s="62" t="str">
        <f aca="false">IF(OR(F52="",D13=""),"",((F52*(1+IF(F53="",0,F53))^ROUNDDOWN(9/IF(F54="",5,F54),0))+IF(IF(F62="",IF($D$35="",0,$D$35),F62)=0,0,MAX(0,D13*1.02^9-IF(F63&lt;&gt;"",F63,IF($D$37&lt;&gt;"",$D$37,(F52*(1+IF(F53="",0,F53))^ROUNDDOWN(9/IF(F54="",5,F54),0))/IF(F62="",IF($D$35="",0,$D$35),F62))))*IF(F62="",IF($D$35="",0,$D$35),F62)))/(D13*1.02^9))</f>
        <v/>
      </c>
      <c r="G74" s="62" t="str">
        <f aca="false">IF(OR(G52="",D13=""),"",((G52*(1+IF(G53="",0,G53))^ROUNDDOWN(9/IF(G54="",5,G54),0))+IF(IF(G62="",IF($D$35="",0,$D$35),G62)=0,0,MAX(0,D13*1.02^9-IF(G63&lt;&gt;"",G63,IF($D$37&lt;&gt;"",$D$37,(G52*(1+IF(G53="",0,G53))^ROUNDDOWN(9/IF(G54="",5,G54),0))/IF(G62="",IF($D$35="",0,$D$35),G62))))*IF(G62="",IF($D$35="",0,$D$35),G62)))/(D13*1.02^9))</f>
        <v/>
      </c>
      <c r="H74" s="62" t="str">
        <f aca="false">IF(OR(H52="",D13=""),"",((H52*(1+IF(H53="",0,H53))^ROUNDDOWN(9/IF(H54="",5,H54),0))+IF(IF(H62="",IF($D$35="",0,$D$35),H62)=0,0,MAX(0,D13*1.02^9-IF(H63&lt;&gt;"",H63,IF($D$37&lt;&gt;"",$D$37,(H52*(1+IF(H53="",0,H53))^ROUNDDOWN(9/IF(H54="",5,H54),0))/IF(H62="",IF($D$35="",0,$D$35),H62))))*IF(H62="",IF($D$35="",0,$D$35),H62)))/(D13*1.02^9))</f>
        <v/>
      </c>
    </row>
    <row r="75" customFormat="false" ht="23.85" hidden="false" customHeight="true" outlineLevel="0" collapsed="false">
      <c r="A75" s="22" t="s">
        <v>377</v>
      </c>
      <c r="B75" s="22"/>
      <c r="C75" s="22"/>
      <c r="D75" s="66" t="str">
        <f aca="false">IF(OR(D74="",D67=""),"",IF(MAX(D67,D74)&gt;=0.08,"HARD STOP — occupancy at/above 8% of sales: STOP, CEO sign-off before responding",IF(MAX(D67,D74)&gt;0.07,"Above Kim 7% alert — approaching 8% hard stop","OK — under 7% alert")))</f>
        <v>OK — under 7% alert</v>
      </c>
      <c r="E75" s="66" t="str">
        <f aca="false">IF(OR(E74="",E67=""),"",IF(MAX(E67,E74)&gt;=0.08,"HARD STOP — occupancy at/above 8% of sales: STOP, CEO sign-off before responding",IF(MAX(E67,E74)&gt;0.07,"Above Kim 7% alert — approaching 8% hard stop","OK — under 7% alert")))</f>
        <v/>
      </c>
      <c r="F75" s="66" t="str">
        <f aca="false">IF(OR(F74="",F67=""),"",IF(MAX(F67,F74)&gt;=0.08,"HARD STOP — occupancy at/above 8% of sales: STOP, CEO sign-off before responding",IF(MAX(F67,F74)&gt;0.07,"Above Kim 7% alert — approaching 8% hard stop","OK — under 7% alert")))</f>
        <v/>
      </c>
      <c r="G75" s="66" t="str">
        <f aca="false">IF(OR(G74="",G67=""),"",IF(MAX(G67,G74)&gt;=0.08,"HARD STOP — occupancy at/above 8% of sales: STOP, CEO sign-off before responding",IF(MAX(G67,G74)&gt;0.07,"Above Kim 7% alert — approaching 8% hard stop","OK — under 7% alert")))</f>
        <v/>
      </c>
      <c r="H75" s="66" t="str">
        <f aca="false">IF(OR(H74="",H67=""),"",IF(MAX(H67,H74)&gt;=0.08,"HARD STOP — occupancy at/above 8% of sales: STOP, CEO sign-off before responding",IF(MAX(H67,H74)&gt;0.07,"Above Kim 7% alert — approaching 8% hard stop","OK — under 7% alert")))</f>
        <v/>
      </c>
    </row>
    <row r="77" customFormat="false" ht="22.35" hidden="false" customHeight="true" outlineLevel="0" collapsed="false">
      <c r="A77" s="68" t="s">
        <v>379</v>
      </c>
      <c r="B77" s="68"/>
      <c r="C77" s="68"/>
      <c r="D77" s="68"/>
      <c r="E77" s="68"/>
      <c r="F77" s="68"/>
      <c r="G77" s="68"/>
      <c r="H77" s="68"/>
      <c r="I77" s="68"/>
      <c r="J77" s="68"/>
    </row>
    <row r="79" customFormat="false" ht="15" hidden="false" customHeight="false" outlineLevel="0" collapsed="false">
      <c r="A79" s="69" t="s">
        <v>380</v>
      </c>
      <c r="B79" s="69"/>
      <c r="C79" s="69"/>
      <c r="D79" s="69"/>
      <c r="E79" s="69"/>
      <c r="F79" s="69"/>
      <c r="G79" s="69"/>
      <c r="H79" s="69"/>
      <c r="I79" s="69"/>
      <c r="J79" s="69"/>
    </row>
    <row r="82" customFormat="false" ht="15" hidden="false" customHeight="false" outlineLevel="0" collapsed="false">
      <c r="A82" s="25" t="s">
        <v>381</v>
      </c>
    </row>
    <row r="83" customFormat="false" ht="15" hidden="false" customHeight="false" outlineLevel="0" collapsed="false">
      <c r="A83" s="69" t="s">
        <v>382</v>
      </c>
      <c r="B83" s="69"/>
      <c r="C83" s="69"/>
      <c r="D83" s="69"/>
      <c r="E83" s="69"/>
      <c r="F83" s="69"/>
      <c r="G83" s="69"/>
      <c r="H83" s="69"/>
      <c r="I83" s="69"/>
      <c r="J83" s="69"/>
      <c r="K83" s="69"/>
      <c r="L83" s="69"/>
      <c r="M83" s="69"/>
      <c r="N83" s="69"/>
      <c r="O83" s="69"/>
      <c r="P83" s="69"/>
      <c r="Q83" s="69"/>
      <c r="R83" s="69"/>
      <c r="S83" s="69"/>
      <c r="T83" s="69"/>
    </row>
    <row r="84" customFormat="false" ht="15" hidden="false" customHeight="true" outlineLevel="0" collapsed="false">
      <c r="A84" s="70" t="s">
        <v>383</v>
      </c>
      <c r="B84" s="70" t="s">
        <v>384</v>
      </c>
      <c r="C84" s="71" t="s">
        <v>385</v>
      </c>
      <c r="D84" s="71"/>
      <c r="E84" s="71"/>
      <c r="F84" s="71" t="s">
        <v>386</v>
      </c>
      <c r="G84" s="71"/>
      <c r="H84" s="71"/>
      <c r="I84" s="71" t="s">
        <v>387</v>
      </c>
      <c r="J84" s="71"/>
      <c r="K84" s="71"/>
      <c r="L84" s="71" t="s">
        <v>388</v>
      </c>
      <c r="M84" s="71"/>
      <c r="N84" s="71"/>
      <c r="O84" s="71" t="s">
        <v>389</v>
      </c>
      <c r="P84" s="71"/>
      <c r="Q84" s="71"/>
      <c r="R84" s="72" t="s">
        <v>390</v>
      </c>
      <c r="S84" s="72"/>
      <c r="T84" s="72"/>
    </row>
    <row r="85" customFormat="false" ht="15" hidden="false" customHeight="false" outlineLevel="0" collapsed="false">
      <c r="A85" s="73"/>
      <c r="B85" s="73"/>
      <c r="C85" s="73" t="s">
        <v>391</v>
      </c>
      <c r="D85" s="73" t="s">
        <v>392</v>
      </c>
      <c r="E85" s="73" t="s">
        <v>393</v>
      </c>
      <c r="F85" s="73" t="s">
        <v>391</v>
      </c>
      <c r="G85" s="73" t="s">
        <v>392</v>
      </c>
      <c r="H85" s="73" t="s">
        <v>393</v>
      </c>
      <c r="I85" s="73" t="s">
        <v>391</v>
      </c>
      <c r="J85" s="73" t="s">
        <v>392</v>
      </c>
      <c r="K85" s="73" t="s">
        <v>393</v>
      </c>
      <c r="L85" s="73" t="s">
        <v>391</v>
      </c>
      <c r="M85" s="73" t="s">
        <v>392</v>
      </c>
      <c r="N85" s="73" t="s">
        <v>393</v>
      </c>
      <c r="O85" s="73" t="s">
        <v>391</v>
      </c>
      <c r="P85" s="73" t="s">
        <v>392</v>
      </c>
      <c r="Q85" s="73" t="s">
        <v>393</v>
      </c>
      <c r="R85" s="73" t="s">
        <v>391</v>
      </c>
      <c r="S85" s="73" t="s">
        <v>392</v>
      </c>
      <c r="T85" s="73" t="s">
        <v>393</v>
      </c>
    </row>
    <row r="86" customFormat="false" ht="15" hidden="false" customHeight="false" outlineLevel="0" collapsed="false">
      <c r="A86" s="74" t="n">
        <v>1</v>
      </c>
      <c r="B86" s="75" t="n">
        <v>2041617</v>
      </c>
      <c r="C86" s="76" t="n">
        <v>62274</v>
      </c>
      <c r="D86" s="76" t="n">
        <v>0</v>
      </c>
      <c r="E86" s="76" t="n">
        <v>62274</v>
      </c>
      <c r="F86" s="75" t="n">
        <f aca="false">IF(D52="","",IF(1&gt;IF(D55="",10,D55),"",D52*(1+IF(D53="",0,D53))^ROUNDDOWN((1-1)/IF(D54="",5,D54),0)))</f>
        <v>62274</v>
      </c>
      <c r="G86" s="75" t="n">
        <f aca="false">IF(F86="","",IF((IF(D62="",IF($D$35="",0,$D$35),D62))=0,0,MAX(0,2041616.91-(IF(D63&lt;&gt;"",D63,IF($D$37&lt;&gt;"",$D$37,IF((IF(D62="",IF($D$35="",0,$D$35),D62))=0,0,D52/(IF(D62="",IF($D$35="",0,$D$35),D62)))))))*(IF(D62="",IF($D$35="",0,$D$35),D62))))</f>
        <v>0</v>
      </c>
      <c r="H86" s="75" t="n">
        <f aca="false">IF(F86="","",F86+G86)</f>
        <v>62274</v>
      </c>
      <c r="I86" s="75" t="str">
        <f aca="false">IF(E52="","",IF(1&gt;IF(E55="",10,E55),"",E52*(1+IF(E53="",0,E53))^ROUNDDOWN((1-1)/IF(E54="",5,E54),0)))</f>
        <v/>
      </c>
      <c r="J86" s="75" t="str">
        <f aca="false">IF(I86="","",IF((IF(E62="",IF($D$35="",0,$D$35),E62))=0,0,MAX(0,2041616.91-(IF(E63&lt;&gt;"",E63,IF($D$37&lt;&gt;"",$D$37,IF((IF(E62="",IF($D$35="",0,$D$35),E62))=0,0,E52/(IF(E62="",IF($D$35="",0,$D$35),E62)))))))*(IF(E62="",IF($D$35="",0,$D$35),E62))))</f>
        <v/>
      </c>
      <c r="K86" s="75" t="str">
        <f aca="false">IF(I86="","",I86+J86)</f>
        <v/>
      </c>
      <c r="L86" s="75" t="str">
        <f aca="false">IF(F52="","",IF(1&gt;IF(F55="",10,F55),"",F52*(1+IF(F53="",0,F53))^ROUNDDOWN((1-1)/IF(F54="",5,F54),0)))</f>
        <v/>
      </c>
      <c r="M86" s="75" t="str">
        <f aca="false">IF(L86="","",IF((IF(F62="",IF($D$35="",0,$D$35),F62))=0,0,MAX(0,2041616.91-(IF(F63&lt;&gt;"",F63,IF($D$37&lt;&gt;"",$D$37,IF((IF(F62="",IF($D$35="",0,$D$35),F62))=0,0,F52/(IF(F62="",IF($D$35="",0,$D$35),F62)))))))*(IF(F62="",IF($D$35="",0,$D$35),F62))))</f>
        <v/>
      </c>
      <c r="N86" s="75" t="str">
        <f aca="false">IF(L86="","",L86+M86)</f>
        <v/>
      </c>
      <c r="O86" s="75" t="str">
        <f aca="false">IF(G52="","",IF(1&gt;IF(G55="",10,G55),"",G52*(1+IF(G53="",0,G53))^ROUNDDOWN((1-1)/IF(G54="",5,G54),0)))</f>
        <v/>
      </c>
      <c r="P86" s="75" t="str">
        <f aca="false">IF(O86="","",IF((IF(G62="",IF($D$35="",0,$D$35),G62))=0,0,MAX(0,2041616.91-(IF(G63&lt;&gt;"",G63,IF($D$37&lt;&gt;"",$D$37,IF((IF(G62="",IF($D$35="",0,$D$35),G62))=0,0,G52/(IF(G62="",IF($D$35="",0,$D$35),G62)))))))*(IF(G62="",IF($D$35="",0,$D$35),G62))))</f>
        <v/>
      </c>
      <c r="Q86" s="75" t="str">
        <f aca="false">IF(O86="","",O86+P86)</f>
        <v/>
      </c>
      <c r="R86" s="75" t="str">
        <f aca="false">IF(H52="","",IF(1&gt;IF(H55="",10,H55),"",H52*(1+IF(H53="",0,H53))^ROUNDDOWN((1-1)/IF(H54="",5,H54),0)))</f>
        <v/>
      </c>
      <c r="S86" s="75" t="str">
        <f aca="false">IF(R86="","",IF((IF(H62="",IF($D$35="",0,$D$35),H62))=0,0,MAX(0,2041616.91-(IF(H63&lt;&gt;"",H63,IF($D$37&lt;&gt;"",$D$37,IF((IF(H62="",IF($D$35="",0,$D$35),H62))=0,0,H52/(IF(H62="",IF($D$35="",0,$D$35),H62)))))))*(IF(H62="",IF($D$35="",0,$D$35),H62))))</f>
        <v/>
      </c>
      <c r="T86" s="75" t="str">
        <f aca="false">IF(R86="","",R86+S86)</f>
        <v/>
      </c>
    </row>
    <row r="87" customFormat="false" ht="15" hidden="false" customHeight="false" outlineLevel="0" collapsed="false">
      <c r="A87" s="74" t="n">
        <v>2</v>
      </c>
      <c r="B87" s="75" t="n">
        <v>2082449</v>
      </c>
      <c r="C87" s="76" t="n">
        <v>62274</v>
      </c>
      <c r="D87" s="76" t="n">
        <v>0</v>
      </c>
      <c r="E87" s="76" t="n">
        <v>62274</v>
      </c>
      <c r="F87" s="75" t="n">
        <f aca="false">IF(D52="","",IF(2&gt;IF(D55="",10,D55),"",D52*(1+IF(D53="",0,D53))^ROUNDDOWN((2-1)/IF(D54="",5,D54),0)))</f>
        <v>62274</v>
      </c>
      <c r="G87" s="75" t="n">
        <f aca="false">IF(F87="","",IF((IF(D62="",IF($D$35="",0,$D$35),D62))=0,0,MAX(0,2082449.25-(IF(D63&lt;&gt;"",D63,IF($D$37&lt;&gt;"",$D$37,IF((IF(D62="",IF($D$35="",0,$D$35),D62))=0,0,D52/(IF(D62="",IF($D$35="",0,$D$35),D62)))))))*(IF(D62="",IF($D$35="",0,$D$35),D62))))</f>
        <v>0</v>
      </c>
      <c r="H87" s="75" t="n">
        <f aca="false">IF(F87="","",F87+G87)</f>
        <v>62274</v>
      </c>
      <c r="I87" s="75" t="str">
        <f aca="false">IF(E52="","",IF(2&gt;IF(E55="",10,E55),"",E52*(1+IF(E53="",0,E53))^ROUNDDOWN((2-1)/IF(E54="",5,E54),0)))</f>
        <v/>
      </c>
      <c r="J87" s="75" t="str">
        <f aca="false">IF(I87="","",IF((IF(E62="",IF($D$35="",0,$D$35),E62))=0,0,MAX(0,2082449.25-(IF(E63&lt;&gt;"",E63,IF($D$37&lt;&gt;"",$D$37,IF((IF(E62="",IF($D$35="",0,$D$35),E62))=0,0,E52/(IF(E62="",IF($D$35="",0,$D$35),E62)))))))*(IF(E62="",IF($D$35="",0,$D$35),E62))))</f>
        <v/>
      </c>
      <c r="K87" s="75" t="str">
        <f aca="false">IF(I87="","",I87+J87)</f>
        <v/>
      </c>
      <c r="L87" s="75" t="str">
        <f aca="false">IF(F52="","",IF(2&gt;IF(F55="",10,F55),"",F52*(1+IF(F53="",0,F53))^ROUNDDOWN((2-1)/IF(F54="",5,F54),0)))</f>
        <v/>
      </c>
      <c r="M87" s="75" t="str">
        <f aca="false">IF(L87="","",IF((IF(F62="",IF($D$35="",0,$D$35),F62))=0,0,MAX(0,2082449.25-(IF(F63&lt;&gt;"",F63,IF($D$37&lt;&gt;"",$D$37,IF((IF(F62="",IF($D$35="",0,$D$35),F62))=0,0,F52/(IF(F62="",IF($D$35="",0,$D$35),F62)))))))*(IF(F62="",IF($D$35="",0,$D$35),F62))))</f>
        <v/>
      </c>
      <c r="N87" s="75" t="str">
        <f aca="false">IF(L87="","",L87+M87)</f>
        <v/>
      </c>
      <c r="O87" s="75" t="str">
        <f aca="false">IF(G52="","",IF(2&gt;IF(G55="",10,G55),"",G52*(1+IF(G53="",0,G53))^ROUNDDOWN((2-1)/IF(G54="",5,G54),0)))</f>
        <v/>
      </c>
      <c r="P87" s="75" t="str">
        <f aca="false">IF(O87="","",IF((IF(G62="",IF($D$35="",0,$D$35),G62))=0,0,MAX(0,2082449.25-(IF(G63&lt;&gt;"",G63,IF($D$37&lt;&gt;"",$D$37,IF((IF(G62="",IF($D$35="",0,$D$35),G62))=0,0,G52/(IF(G62="",IF($D$35="",0,$D$35),G62)))))))*(IF(G62="",IF($D$35="",0,$D$35),G62))))</f>
        <v/>
      </c>
      <c r="Q87" s="75" t="str">
        <f aca="false">IF(O87="","",O87+P87)</f>
        <v/>
      </c>
      <c r="R87" s="75" t="str">
        <f aca="false">IF(H52="","",IF(2&gt;IF(H55="",10,H55),"",H52*(1+IF(H53="",0,H53))^ROUNDDOWN((2-1)/IF(H54="",5,H54),0)))</f>
        <v/>
      </c>
      <c r="S87" s="75" t="str">
        <f aca="false">IF(R87="","",IF((IF(H62="",IF($D$35="",0,$D$35),H62))=0,0,MAX(0,2082449.25-(IF(H63&lt;&gt;"",H63,IF($D$37&lt;&gt;"",$D$37,IF((IF(H62="",IF($D$35="",0,$D$35),H62))=0,0,H52/(IF(H62="",IF($D$35="",0,$D$35),H62)))))))*(IF(H62="",IF($D$35="",0,$D$35),H62))))</f>
        <v/>
      </c>
      <c r="T87" s="75" t="str">
        <f aca="false">IF(R87="","",R87+S87)</f>
        <v/>
      </c>
    </row>
    <row r="88" customFormat="false" ht="15" hidden="false" customHeight="false" outlineLevel="0" collapsed="false">
      <c r="A88" s="74" t="n">
        <v>3</v>
      </c>
      <c r="B88" s="75" t="n">
        <v>2124098</v>
      </c>
      <c r="C88" s="76" t="n">
        <v>62274</v>
      </c>
      <c r="D88" s="76" t="n">
        <v>0</v>
      </c>
      <c r="E88" s="76" t="n">
        <v>62274</v>
      </c>
      <c r="F88" s="75" t="n">
        <f aca="false">IF(D52="","",IF(3&gt;IF(D55="",10,D55),"",D52*(1+IF(D53="",0,D53))^ROUNDDOWN((3-1)/IF(D54="",5,D54),0)))</f>
        <v>62274</v>
      </c>
      <c r="G88" s="75" t="n">
        <f aca="false">IF(F88="","",IF((IF(D62="",IF($D$35="",0,$D$35),D62))=0,0,MAX(0,2124098.23-(IF(D63&lt;&gt;"",D63,IF($D$37&lt;&gt;"",$D$37,IF((IF(D62="",IF($D$35="",0,$D$35),D62))=0,0,D52/(IF(D62="",IF($D$35="",0,$D$35),D62)))))))*(IF(D62="",IF($D$35="",0,$D$35),D62))))</f>
        <v>0</v>
      </c>
      <c r="H88" s="75" t="n">
        <f aca="false">IF(F88="","",F88+G88)</f>
        <v>62274</v>
      </c>
      <c r="I88" s="75" t="str">
        <f aca="false">IF(E52="","",IF(3&gt;IF(E55="",10,E55),"",E52*(1+IF(E53="",0,E53))^ROUNDDOWN((3-1)/IF(E54="",5,E54),0)))</f>
        <v/>
      </c>
      <c r="J88" s="75" t="str">
        <f aca="false">IF(I88="","",IF((IF(E62="",IF($D$35="",0,$D$35),E62))=0,0,MAX(0,2124098.23-(IF(E63&lt;&gt;"",E63,IF($D$37&lt;&gt;"",$D$37,IF((IF(E62="",IF($D$35="",0,$D$35),E62))=0,0,E52/(IF(E62="",IF($D$35="",0,$D$35),E62)))))))*(IF(E62="",IF($D$35="",0,$D$35),E62))))</f>
        <v/>
      </c>
      <c r="K88" s="75" t="str">
        <f aca="false">IF(I88="","",I88+J88)</f>
        <v/>
      </c>
      <c r="L88" s="75" t="str">
        <f aca="false">IF(F52="","",IF(3&gt;IF(F55="",10,F55),"",F52*(1+IF(F53="",0,F53))^ROUNDDOWN((3-1)/IF(F54="",5,F54),0)))</f>
        <v/>
      </c>
      <c r="M88" s="75" t="str">
        <f aca="false">IF(L88="","",IF((IF(F62="",IF($D$35="",0,$D$35),F62))=0,0,MAX(0,2124098.23-(IF(F63&lt;&gt;"",F63,IF($D$37&lt;&gt;"",$D$37,IF((IF(F62="",IF($D$35="",0,$D$35),F62))=0,0,F52/(IF(F62="",IF($D$35="",0,$D$35),F62)))))))*(IF(F62="",IF($D$35="",0,$D$35),F62))))</f>
        <v/>
      </c>
      <c r="N88" s="75" t="str">
        <f aca="false">IF(L88="","",L88+M88)</f>
        <v/>
      </c>
      <c r="O88" s="75" t="str">
        <f aca="false">IF(G52="","",IF(3&gt;IF(G55="",10,G55),"",G52*(1+IF(G53="",0,G53))^ROUNDDOWN((3-1)/IF(G54="",5,G54),0)))</f>
        <v/>
      </c>
      <c r="P88" s="75" t="str">
        <f aca="false">IF(O88="","",IF((IF(G62="",IF($D$35="",0,$D$35),G62))=0,0,MAX(0,2124098.23-(IF(G63&lt;&gt;"",G63,IF($D$37&lt;&gt;"",$D$37,IF((IF(G62="",IF($D$35="",0,$D$35),G62))=0,0,G52/(IF(G62="",IF($D$35="",0,$D$35),G62)))))))*(IF(G62="",IF($D$35="",0,$D$35),G62))))</f>
        <v/>
      </c>
      <c r="Q88" s="75" t="str">
        <f aca="false">IF(O88="","",O88+P88)</f>
        <v/>
      </c>
      <c r="R88" s="75" t="str">
        <f aca="false">IF(H52="","",IF(3&gt;IF(H55="",10,H55),"",H52*(1+IF(H53="",0,H53))^ROUNDDOWN((3-1)/IF(H54="",5,H54),0)))</f>
        <v/>
      </c>
      <c r="S88" s="75" t="str">
        <f aca="false">IF(R88="","",IF((IF(H62="",IF($D$35="",0,$D$35),H62))=0,0,MAX(0,2124098.23-(IF(H63&lt;&gt;"",H63,IF($D$37&lt;&gt;"",$D$37,IF((IF(H62="",IF($D$35="",0,$D$35),H62))=0,0,H52/(IF(H62="",IF($D$35="",0,$D$35),H62)))))))*(IF(H62="",IF($D$35="",0,$D$35),H62))))</f>
        <v/>
      </c>
      <c r="T88" s="75" t="str">
        <f aca="false">IF(R88="","",R88+S88)</f>
        <v/>
      </c>
    </row>
    <row r="89" customFormat="false" ht="15" hidden="false" customHeight="false" outlineLevel="0" collapsed="false">
      <c r="A89" s="74" t="n">
        <v>4</v>
      </c>
      <c r="B89" s="75" t="n">
        <v>2166580</v>
      </c>
      <c r="C89" s="76" t="n">
        <v>62274</v>
      </c>
      <c r="D89" s="76" t="n">
        <v>0</v>
      </c>
      <c r="E89" s="76" t="n">
        <v>62274</v>
      </c>
      <c r="F89" s="75" t="n">
        <f aca="false">IF(D52="","",IF(4&gt;IF(D55="",10,D55),"",D52*(1+IF(D53="",0,D53))^ROUNDDOWN((4-1)/IF(D54="",5,D54),0)))</f>
        <v>62274</v>
      </c>
      <c r="G89" s="75" t="n">
        <f aca="false">IF(F89="","",IF((IF(D62="",IF($D$35="",0,$D$35),D62))=0,0,MAX(0,2166580.2-(IF(D63&lt;&gt;"",D63,IF($D$37&lt;&gt;"",$D$37,IF((IF(D62="",IF($D$35="",0,$D$35),D62))=0,0,D52/(IF(D62="",IF($D$35="",0,$D$35),D62)))))))*(IF(D62="",IF($D$35="",0,$D$35),D62))))</f>
        <v>0</v>
      </c>
      <c r="H89" s="75" t="n">
        <f aca="false">IF(F89="","",F89+G89)</f>
        <v>62274</v>
      </c>
      <c r="I89" s="75" t="str">
        <f aca="false">IF(E52="","",IF(4&gt;IF(E55="",10,E55),"",E52*(1+IF(E53="",0,E53))^ROUNDDOWN((4-1)/IF(E54="",5,E54),0)))</f>
        <v/>
      </c>
      <c r="J89" s="75" t="str">
        <f aca="false">IF(I89="","",IF((IF(E62="",IF($D$35="",0,$D$35),E62))=0,0,MAX(0,2166580.2-(IF(E63&lt;&gt;"",E63,IF($D$37&lt;&gt;"",$D$37,IF((IF(E62="",IF($D$35="",0,$D$35),E62))=0,0,E52/(IF(E62="",IF($D$35="",0,$D$35),E62)))))))*(IF(E62="",IF($D$35="",0,$D$35),E62))))</f>
        <v/>
      </c>
      <c r="K89" s="75" t="str">
        <f aca="false">IF(I89="","",I89+J89)</f>
        <v/>
      </c>
      <c r="L89" s="75" t="str">
        <f aca="false">IF(F52="","",IF(4&gt;IF(F55="",10,F55),"",F52*(1+IF(F53="",0,F53))^ROUNDDOWN((4-1)/IF(F54="",5,F54),0)))</f>
        <v/>
      </c>
      <c r="M89" s="75" t="str">
        <f aca="false">IF(L89="","",IF((IF(F62="",IF($D$35="",0,$D$35),F62))=0,0,MAX(0,2166580.2-(IF(F63&lt;&gt;"",F63,IF($D$37&lt;&gt;"",$D$37,IF((IF(F62="",IF($D$35="",0,$D$35),F62))=0,0,F52/(IF(F62="",IF($D$35="",0,$D$35),F62)))))))*(IF(F62="",IF($D$35="",0,$D$35),F62))))</f>
        <v/>
      </c>
      <c r="N89" s="75" t="str">
        <f aca="false">IF(L89="","",L89+M89)</f>
        <v/>
      </c>
      <c r="O89" s="75" t="str">
        <f aca="false">IF(G52="","",IF(4&gt;IF(G55="",10,G55),"",G52*(1+IF(G53="",0,G53))^ROUNDDOWN((4-1)/IF(G54="",5,G54),0)))</f>
        <v/>
      </c>
      <c r="P89" s="75" t="str">
        <f aca="false">IF(O89="","",IF((IF(G62="",IF($D$35="",0,$D$35),G62))=0,0,MAX(0,2166580.2-(IF(G63&lt;&gt;"",G63,IF($D$37&lt;&gt;"",$D$37,IF((IF(G62="",IF($D$35="",0,$D$35),G62))=0,0,G52/(IF(G62="",IF($D$35="",0,$D$35),G62)))))))*(IF(G62="",IF($D$35="",0,$D$35),G62))))</f>
        <v/>
      </c>
      <c r="Q89" s="75" t="str">
        <f aca="false">IF(O89="","",O89+P89)</f>
        <v/>
      </c>
      <c r="R89" s="75" t="str">
        <f aca="false">IF(H52="","",IF(4&gt;IF(H55="",10,H55),"",H52*(1+IF(H53="",0,H53))^ROUNDDOWN((4-1)/IF(H54="",5,H54),0)))</f>
        <v/>
      </c>
      <c r="S89" s="75" t="str">
        <f aca="false">IF(R89="","",IF((IF(H62="",IF($D$35="",0,$D$35),H62))=0,0,MAX(0,2166580.2-(IF(H63&lt;&gt;"",H63,IF($D$37&lt;&gt;"",$D$37,IF((IF(H62="",IF($D$35="",0,$D$35),H62))=0,0,H52/(IF(H62="",IF($D$35="",0,$D$35),H62)))))))*(IF(H62="",IF($D$35="",0,$D$35),H62))))</f>
        <v/>
      </c>
      <c r="T89" s="75" t="str">
        <f aca="false">IF(R89="","",R89+S89)</f>
        <v/>
      </c>
    </row>
    <row r="90" customFormat="false" ht="15" hidden="false" customHeight="false" outlineLevel="0" collapsed="false">
      <c r="A90" s="74" t="n">
        <v>5</v>
      </c>
      <c r="B90" s="75" t="n">
        <v>2209912</v>
      </c>
      <c r="C90" s="76" t="n">
        <v>62274</v>
      </c>
      <c r="D90" s="76" t="n">
        <v>0</v>
      </c>
      <c r="E90" s="76" t="n">
        <v>62274</v>
      </c>
      <c r="F90" s="75" t="n">
        <f aca="false">IF(D52="","",IF(5&gt;IF(D55="",10,D55),"",D52*(1+IF(D53="",0,D53))^ROUNDDOWN((5-1)/IF(D54="",5,D54),0)))</f>
        <v>62274</v>
      </c>
      <c r="G90" s="75" t="n">
        <f aca="false">IF(F90="","",IF((IF(D62="",IF($D$35="",0,$D$35),D62))=0,0,MAX(0,2209911.8-(IF(D63&lt;&gt;"",D63,IF($D$37&lt;&gt;"",$D$37,IF((IF(D62="",IF($D$35="",0,$D$35),D62))=0,0,D52/(IF(D62="",IF($D$35="",0,$D$35),D62)))))))*(IF(D62="",IF($D$35="",0,$D$35),D62))))</f>
        <v>0</v>
      </c>
      <c r="H90" s="75" t="n">
        <f aca="false">IF(F90="","",F90+G90)</f>
        <v>62274</v>
      </c>
      <c r="I90" s="75" t="str">
        <f aca="false">IF(E52="","",IF(5&gt;IF(E55="",10,E55),"",E52*(1+IF(E53="",0,E53))^ROUNDDOWN((5-1)/IF(E54="",5,E54),0)))</f>
        <v/>
      </c>
      <c r="J90" s="75" t="str">
        <f aca="false">IF(I90="","",IF((IF(E62="",IF($D$35="",0,$D$35),E62))=0,0,MAX(0,2209911.8-(IF(E63&lt;&gt;"",E63,IF($D$37&lt;&gt;"",$D$37,IF((IF(E62="",IF($D$35="",0,$D$35),E62))=0,0,E52/(IF(E62="",IF($D$35="",0,$D$35),E62)))))))*(IF(E62="",IF($D$35="",0,$D$35),E62))))</f>
        <v/>
      </c>
      <c r="K90" s="75" t="str">
        <f aca="false">IF(I90="","",I90+J90)</f>
        <v/>
      </c>
      <c r="L90" s="75" t="str">
        <f aca="false">IF(F52="","",IF(5&gt;IF(F55="",10,F55),"",F52*(1+IF(F53="",0,F53))^ROUNDDOWN((5-1)/IF(F54="",5,F54),0)))</f>
        <v/>
      </c>
      <c r="M90" s="75" t="str">
        <f aca="false">IF(L90="","",IF((IF(F62="",IF($D$35="",0,$D$35),F62))=0,0,MAX(0,2209911.8-(IF(F63&lt;&gt;"",F63,IF($D$37&lt;&gt;"",$D$37,IF((IF(F62="",IF($D$35="",0,$D$35),F62))=0,0,F52/(IF(F62="",IF($D$35="",0,$D$35),F62)))))))*(IF(F62="",IF($D$35="",0,$D$35),F62))))</f>
        <v/>
      </c>
      <c r="N90" s="75" t="str">
        <f aca="false">IF(L90="","",L90+M90)</f>
        <v/>
      </c>
      <c r="O90" s="75" t="str">
        <f aca="false">IF(G52="","",IF(5&gt;IF(G55="",10,G55),"",G52*(1+IF(G53="",0,G53))^ROUNDDOWN((5-1)/IF(G54="",5,G54),0)))</f>
        <v/>
      </c>
      <c r="P90" s="75" t="str">
        <f aca="false">IF(O90="","",IF((IF(G62="",IF($D$35="",0,$D$35),G62))=0,0,MAX(0,2209911.8-(IF(G63&lt;&gt;"",G63,IF($D$37&lt;&gt;"",$D$37,IF((IF(G62="",IF($D$35="",0,$D$35),G62))=0,0,G52/(IF(G62="",IF($D$35="",0,$D$35),G62)))))))*(IF(G62="",IF($D$35="",0,$D$35),G62))))</f>
        <v/>
      </c>
      <c r="Q90" s="75" t="str">
        <f aca="false">IF(O90="","",O90+P90)</f>
        <v/>
      </c>
      <c r="R90" s="75" t="str">
        <f aca="false">IF(H52="","",IF(5&gt;IF(H55="",10,H55),"",H52*(1+IF(H53="",0,H53))^ROUNDDOWN((5-1)/IF(H54="",5,H54),0)))</f>
        <v/>
      </c>
      <c r="S90" s="75" t="str">
        <f aca="false">IF(R90="","",IF((IF(H62="",IF($D$35="",0,$D$35),H62))=0,0,MAX(0,2209911.8-(IF(H63&lt;&gt;"",H63,IF($D$37&lt;&gt;"",$D$37,IF((IF(H62="",IF($D$35="",0,$D$35),H62))=0,0,H52/(IF(H62="",IF($D$35="",0,$D$35),H62)))))))*(IF(H62="",IF($D$35="",0,$D$35),H62))))</f>
        <v/>
      </c>
      <c r="T90" s="75" t="str">
        <f aca="false">IF(R90="","",R90+S90)</f>
        <v/>
      </c>
    </row>
    <row r="91" customFormat="false" ht="15" hidden="false" customHeight="false" outlineLevel="0" collapsed="false">
      <c r="A91" s="74" t="n">
        <v>6</v>
      </c>
      <c r="B91" s="75" t="n">
        <v>2254110</v>
      </c>
      <c r="C91" s="76" t="n">
        <v>68501</v>
      </c>
      <c r="D91" s="76" t="n">
        <v>0</v>
      </c>
      <c r="E91" s="76" t="n">
        <v>68501</v>
      </c>
      <c r="F91" s="75" t="n">
        <f aca="false">IF(D52="","",IF(6&gt;IF(D55="",10,D55),"",D52*(1+IF(D53="",0,D53))^ROUNDDOWN((6-1)/IF(D54="",5,D54),0)))</f>
        <v>63519.48</v>
      </c>
      <c r="G91" s="75" t="n">
        <f aca="false">IF(F91="","",IF((IF(D62="",IF($D$35="",0,$D$35),D62))=0,0,MAX(0,2254110.04-(IF(D63&lt;&gt;"",D63,IF($D$37&lt;&gt;"",$D$37,IF((IF(D62="",IF($D$35="",0,$D$35),D62))=0,0,D52/(IF(D62="",IF($D$35="",0,$D$35),D62)))))))*(IF(D62="",IF($D$35="",0,$D$35),D62))))</f>
        <v>0</v>
      </c>
      <c r="H91" s="75" t="n">
        <f aca="false">IF(F91="","",F91+G91)</f>
        <v>63519.48</v>
      </c>
      <c r="I91" s="75" t="str">
        <f aca="false">IF(E52="","",IF(6&gt;IF(E55="",10,E55),"",E52*(1+IF(E53="",0,E53))^ROUNDDOWN((6-1)/IF(E54="",5,E54),0)))</f>
        <v/>
      </c>
      <c r="J91" s="75" t="str">
        <f aca="false">IF(I91="","",IF((IF(E62="",IF($D$35="",0,$D$35),E62))=0,0,MAX(0,2254110.04-(IF(E63&lt;&gt;"",E63,IF($D$37&lt;&gt;"",$D$37,IF((IF(E62="",IF($D$35="",0,$D$35),E62))=0,0,E52/(IF(E62="",IF($D$35="",0,$D$35),E62)))))))*(IF(E62="",IF($D$35="",0,$D$35),E62))))</f>
        <v/>
      </c>
      <c r="K91" s="75" t="str">
        <f aca="false">IF(I91="","",I91+J91)</f>
        <v/>
      </c>
      <c r="L91" s="75" t="str">
        <f aca="false">IF(F52="","",IF(6&gt;IF(F55="",10,F55),"",F52*(1+IF(F53="",0,F53))^ROUNDDOWN((6-1)/IF(F54="",5,F54),0)))</f>
        <v/>
      </c>
      <c r="M91" s="75" t="str">
        <f aca="false">IF(L91="","",IF((IF(F62="",IF($D$35="",0,$D$35),F62))=0,0,MAX(0,2254110.04-(IF(F63&lt;&gt;"",F63,IF($D$37&lt;&gt;"",$D$37,IF((IF(F62="",IF($D$35="",0,$D$35),F62))=0,0,F52/(IF(F62="",IF($D$35="",0,$D$35),F62)))))))*(IF(F62="",IF($D$35="",0,$D$35),F62))))</f>
        <v/>
      </c>
      <c r="N91" s="75" t="str">
        <f aca="false">IF(L91="","",L91+M91)</f>
        <v/>
      </c>
      <c r="O91" s="75" t="str">
        <f aca="false">IF(G52="","",IF(6&gt;IF(G55="",10,G55),"",G52*(1+IF(G53="",0,G53))^ROUNDDOWN((6-1)/IF(G54="",5,G54),0)))</f>
        <v/>
      </c>
      <c r="P91" s="75" t="str">
        <f aca="false">IF(O91="","",IF((IF(G62="",IF($D$35="",0,$D$35),G62))=0,0,MAX(0,2254110.04-(IF(G63&lt;&gt;"",G63,IF($D$37&lt;&gt;"",$D$37,IF((IF(G62="",IF($D$35="",0,$D$35),G62))=0,0,G52/(IF(G62="",IF($D$35="",0,$D$35),G62)))))))*(IF(G62="",IF($D$35="",0,$D$35),G62))))</f>
        <v/>
      </c>
      <c r="Q91" s="75" t="str">
        <f aca="false">IF(O91="","",O91+P91)</f>
        <v/>
      </c>
      <c r="R91" s="75" t="str">
        <f aca="false">IF(H52="","",IF(6&gt;IF(H55="",10,H55),"",H52*(1+IF(H53="",0,H53))^ROUNDDOWN((6-1)/IF(H54="",5,H54),0)))</f>
        <v/>
      </c>
      <c r="S91" s="75" t="str">
        <f aca="false">IF(R91="","",IF((IF(H62="",IF($D$35="",0,$D$35),H62))=0,0,MAX(0,2254110.04-(IF(H63&lt;&gt;"",H63,IF($D$37&lt;&gt;"",$D$37,IF((IF(H62="",IF($D$35="",0,$D$35),H62))=0,0,H52/(IF(H62="",IF($D$35="",0,$D$35),H62)))))))*(IF(H62="",IF($D$35="",0,$D$35),H62))))</f>
        <v/>
      </c>
      <c r="T91" s="75" t="str">
        <f aca="false">IF(R91="","",R91+S91)</f>
        <v/>
      </c>
    </row>
    <row r="92" customFormat="false" ht="15" hidden="false" customHeight="false" outlineLevel="0" collapsed="false">
      <c r="A92" s="74" t="n">
        <v>7</v>
      </c>
      <c r="B92" s="75" t="n">
        <v>2299192</v>
      </c>
      <c r="C92" s="76" t="n">
        <v>68501</v>
      </c>
      <c r="D92" s="76" t="n">
        <v>0</v>
      </c>
      <c r="E92" s="76" t="n">
        <v>68501</v>
      </c>
      <c r="F92" s="75" t="n">
        <f aca="false">IF(D52="","",IF(7&gt;IF(D55="",10,D55),"",D52*(1+IF(D53="",0,D53))^ROUNDDOWN((7-1)/IF(D54="",5,D54),0)))</f>
        <v>63519.48</v>
      </c>
      <c r="G92" s="75" t="n">
        <f aca="false">IF(F92="","",IF((IF(D62="",IF($D$35="",0,$D$35),D62))=0,0,MAX(0,2299192.24-(IF(D63&lt;&gt;"",D63,IF($D$37&lt;&gt;"",$D$37,IF((IF(D62="",IF($D$35="",0,$D$35),D62))=0,0,D52/(IF(D62="",IF($D$35="",0,$D$35),D62)))))))*(IF(D62="",IF($D$35="",0,$D$35),D62))))</f>
        <v>0</v>
      </c>
      <c r="H92" s="75" t="n">
        <f aca="false">IF(F92="","",F92+G92)</f>
        <v>63519.48</v>
      </c>
      <c r="I92" s="75" t="str">
        <f aca="false">IF(E52="","",IF(7&gt;IF(E55="",10,E55),"",E52*(1+IF(E53="",0,E53))^ROUNDDOWN((7-1)/IF(E54="",5,E54),0)))</f>
        <v/>
      </c>
      <c r="J92" s="75" t="str">
        <f aca="false">IF(I92="","",IF((IF(E62="",IF($D$35="",0,$D$35),E62))=0,0,MAX(0,2299192.24-(IF(E63&lt;&gt;"",E63,IF($D$37&lt;&gt;"",$D$37,IF((IF(E62="",IF($D$35="",0,$D$35),E62))=0,0,E52/(IF(E62="",IF($D$35="",0,$D$35),E62)))))))*(IF(E62="",IF($D$35="",0,$D$35),E62))))</f>
        <v/>
      </c>
      <c r="K92" s="75" t="str">
        <f aca="false">IF(I92="","",I92+J92)</f>
        <v/>
      </c>
      <c r="L92" s="75" t="str">
        <f aca="false">IF(F52="","",IF(7&gt;IF(F55="",10,F55),"",F52*(1+IF(F53="",0,F53))^ROUNDDOWN((7-1)/IF(F54="",5,F54),0)))</f>
        <v/>
      </c>
      <c r="M92" s="75" t="str">
        <f aca="false">IF(L92="","",IF((IF(F62="",IF($D$35="",0,$D$35),F62))=0,0,MAX(0,2299192.24-(IF(F63&lt;&gt;"",F63,IF($D$37&lt;&gt;"",$D$37,IF((IF(F62="",IF($D$35="",0,$D$35),F62))=0,0,F52/(IF(F62="",IF($D$35="",0,$D$35),F62)))))))*(IF(F62="",IF($D$35="",0,$D$35),F62))))</f>
        <v/>
      </c>
      <c r="N92" s="75" t="str">
        <f aca="false">IF(L92="","",L92+M92)</f>
        <v/>
      </c>
      <c r="O92" s="75" t="str">
        <f aca="false">IF(G52="","",IF(7&gt;IF(G55="",10,G55),"",G52*(1+IF(G53="",0,G53))^ROUNDDOWN((7-1)/IF(G54="",5,G54),0)))</f>
        <v/>
      </c>
      <c r="P92" s="75" t="str">
        <f aca="false">IF(O92="","",IF((IF(G62="",IF($D$35="",0,$D$35),G62))=0,0,MAX(0,2299192.24-(IF(G63&lt;&gt;"",G63,IF($D$37&lt;&gt;"",$D$37,IF((IF(G62="",IF($D$35="",0,$D$35),G62))=0,0,G52/(IF(G62="",IF($D$35="",0,$D$35),G62)))))))*(IF(G62="",IF($D$35="",0,$D$35),G62))))</f>
        <v/>
      </c>
      <c r="Q92" s="75" t="str">
        <f aca="false">IF(O92="","",O92+P92)</f>
        <v/>
      </c>
      <c r="R92" s="75" t="str">
        <f aca="false">IF(H52="","",IF(7&gt;IF(H55="",10,H55),"",H52*(1+IF(H53="",0,H53))^ROUNDDOWN((7-1)/IF(H54="",5,H54),0)))</f>
        <v/>
      </c>
      <c r="S92" s="75" t="str">
        <f aca="false">IF(R92="","",IF((IF(H62="",IF($D$35="",0,$D$35),H62))=0,0,MAX(0,2299192.24-(IF(H63&lt;&gt;"",H63,IF($D$37&lt;&gt;"",$D$37,IF((IF(H62="",IF($D$35="",0,$D$35),H62))=0,0,H52/(IF(H62="",IF($D$35="",0,$D$35),H62)))))))*(IF(H62="",IF($D$35="",0,$D$35),H62))))</f>
        <v/>
      </c>
      <c r="T92" s="75" t="str">
        <f aca="false">IF(R92="","",R92+S92)</f>
        <v/>
      </c>
    </row>
    <row r="93" customFormat="false" ht="15" hidden="false" customHeight="false" outlineLevel="0" collapsed="false">
      <c r="A93" s="74" t="n">
        <v>8</v>
      </c>
      <c r="B93" s="75" t="n">
        <v>2345176</v>
      </c>
      <c r="C93" s="76" t="n">
        <v>68501</v>
      </c>
      <c r="D93" s="76" t="n">
        <v>0</v>
      </c>
      <c r="E93" s="76" t="n">
        <v>68501</v>
      </c>
      <c r="F93" s="75" t="n">
        <f aca="false">IF(D52="","",IF(8&gt;IF(D55="",10,D55),"",D52*(1+IF(D53="",0,D53))^ROUNDDOWN((8-1)/IF(D54="",5,D54),0)))</f>
        <v>63519.48</v>
      </c>
      <c r="G93" s="75" t="n">
        <f aca="false">IF(F93="","",IF((IF(D62="",IF($D$35="",0,$D$35),D62))=0,0,MAX(0,2345176.08-(IF(D63&lt;&gt;"",D63,IF($D$37&lt;&gt;"",$D$37,IF((IF(D62="",IF($D$35="",0,$D$35),D62))=0,0,D52/(IF(D62="",IF($D$35="",0,$D$35),D62)))))))*(IF(D62="",IF($D$35="",0,$D$35),D62))))</f>
        <v>0</v>
      </c>
      <c r="H93" s="75" t="n">
        <f aca="false">IF(F93="","",F93+G93)</f>
        <v>63519.48</v>
      </c>
      <c r="I93" s="75" t="str">
        <f aca="false">IF(E52="","",IF(8&gt;IF(E55="",10,E55),"",E52*(1+IF(E53="",0,E53))^ROUNDDOWN((8-1)/IF(E54="",5,E54),0)))</f>
        <v/>
      </c>
      <c r="J93" s="75" t="str">
        <f aca="false">IF(I93="","",IF((IF(E62="",IF($D$35="",0,$D$35),E62))=0,0,MAX(0,2345176.08-(IF(E63&lt;&gt;"",E63,IF($D$37&lt;&gt;"",$D$37,IF((IF(E62="",IF($D$35="",0,$D$35),E62))=0,0,E52/(IF(E62="",IF($D$35="",0,$D$35),E62)))))))*(IF(E62="",IF($D$35="",0,$D$35),E62))))</f>
        <v/>
      </c>
      <c r="K93" s="75" t="str">
        <f aca="false">IF(I93="","",I93+J93)</f>
        <v/>
      </c>
      <c r="L93" s="75" t="str">
        <f aca="false">IF(F52="","",IF(8&gt;IF(F55="",10,F55),"",F52*(1+IF(F53="",0,F53))^ROUNDDOWN((8-1)/IF(F54="",5,F54),0)))</f>
        <v/>
      </c>
      <c r="M93" s="75" t="str">
        <f aca="false">IF(L93="","",IF((IF(F62="",IF($D$35="",0,$D$35),F62))=0,0,MAX(0,2345176.08-(IF(F63&lt;&gt;"",F63,IF($D$37&lt;&gt;"",$D$37,IF((IF(F62="",IF($D$35="",0,$D$35),F62))=0,0,F52/(IF(F62="",IF($D$35="",0,$D$35),F62)))))))*(IF(F62="",IF($D$35="",0,$D$35),F62))))</f>
        <v/>
      </c>
      <c r="N93" s="75" t="str">
        <f aca="false">IF(L93="","",L93+M93)</f>
        <v/>
      </c>
      <c r="O93" s="75" t="str">
        <f aca="false">IF(G52="","",IF(8&gt;IF(G55="",10,G55),"",G52*(1+IF(G53="",0,G53))^ROUNDDOWN((8-1)/IF(G54="",5,G54),0)))</f>
        <v/>
      </c>
      <c r="P93" s="75" t="str">
        <f aca="false">IF(O93="","",IF((IF(G62="",IF($D$35="",0,$D$35),G62))=0,0,MAX(0,2345176.08-(IF(G63&lt;&gt;"",G63,IF($D$37&lt;&gt;"",$D$37,IF((IF(G62="",IF($D$35="",0,$D$35),G62))=0,0,G52/(IF(G62="",IF($D$35="",0,$D$35),G62)))))))*(IF(G62="",IF($D$35="",0,$D$35),G62))))</f>
        <v/>
      </c>
      <c r="Q93" s="75" t="str">
        <f aca="false">IF(O93="","",O93+P93)</f>
        <v/>
      </c>
      <c r="R93" s="75" t="str">
        <f aca="false">IF(H52="","",IF(8&gt;IF(H55="",10,H55),"",H52*(1+IF(H53="",0,H53))^ROUNDDOWN((8-1)/IF(H54="",5,H54),0)))</f>
        <v/>
      </c>
      <c r="S93" s="75" t="str">
        <f aca="false">IF(R93="","",IF((IF(H62="",IF($D$35="",0,$D$35),H62))=0,0,MAX(0,2345176.08-(IF(H63&lt;&gt;"",H63,IF($D$37&lt;&gt;"",$D$37,IF((IF(H62="",IF($D$35="",0,$D$35),H62))=0,0,H52/(IF(H62="",IF($D$35="",0,$D$35),H62)))))))*(IF(H62="",IF($D$35="",0,$D$35),H62))))</f>
        <v/>
      </c>
      <c r="T93" s="75" t="str">
        <f aca="false">IF(R93="","",R93+S93)</f>
        <v/>
      </c>
    </row>
    <row r="94" customFormat="false" ht="15" hidden="false" customHeight="false" outlineLevel="0" collapsed="false">
      <c r="A94" s="74" t="n">
        <v>9</v>
      </c>
      <c r="B94" s="75" t="n">
        <v>2392080</v>
      </c>
      <c r="C94" s="76" t="n">
        <v>68501</v>
      </c>
      <c r="D94" s="76" t="n">
        <v>0</v>
      </c>
      <c r="E94" s="76" t="n">
        <v>68501</v>
      </c>
      <c r="F94" s="75" t="n">
        <f aca="false">IF(D52="","",IF(9&gt;IF(D55="",10,D55),"",D52*(1+IF(D53="",0,D53))^ROUNDDOWN((9-1)/IF(D54="",5,D54),0)))</f>
        <v>63519.48</v>
      </c>
      <c r="G94" s="75" t="n">
        <f aca="false">IF(F94="","",IF((IF(D62="",IF($D$35="",0,$D$35),D62))=0,0,MAX(0,2392079.61-(IF(D63&lt;&gt;"",D63,IF($D$37&lt;&gt;"",$D$37,IF((IF(D62="",IF($D$35="",0,$D$35),D62))=0,0,D52/(IF(D62="",IF($D$35="",0,$D$35),D62)))))))*(IF(D62="",IF($D$35="",0,$D$35),D62))))</f>
        <v>0</v>
      </c>
      <c r="H94" s="75" t="n">
        <f aca="false">IF(F94="","",F94+G94)</f>
        <v>63519.48</v>
      </c>
      <c r="I94" s="75" t="str">
        <f aca="false">IF(E52="","",IF(9&gt;IF(E55="",10,E55),"",E52*(1+IF(E53="",0,E53))^ROUNDDOWN((9-1)/IF(E54="",5,E54),0)))</f>
        <v/>
      </c>
      <c r="J94" s="75" t="str">
        <f aca="false">IF(I94="","",IF((IF(E62="",IF($D$35="",0,$D$35),E62))=0,0,MAX(0,2392079.61-(IF(E63&lt;&gt;"",E63,IF($D$37&lt;&gt;"",$D$37,IF((IF(E62="",IF($D$35="",0,$D$35),E62))=0,0,E52/(IF(E62="",IF($D$35="",0,$D$35),E62)))))))*(IF(E62="",IF($D$35="",0,$D$35),E62))))</f>
        <v/>
      </c>
      <c r="K94" s="75" t="str">
        <f aca="false">IF(I94="","",I94+J94)</f>
        <v/>
      </c>
      <c r="L94" s="75" t="str">
        <f aca="false">IF(F52="","",IF(9&gt;IF(F55="",10,F55),"",F52*(1+IF(F53="",0,F53))^ROUNDDOWN((9-1)/IF(F54="",5,F54),0)))</f>
        <v/>
      </c>
      <c r="M94" s="75" t="str">
        <f aca="false">IF(L94="","",IF((IF(F62="",IF($D$35="",0,$D$35),F62))=0,0,MAX(0,2392079.61-(IF(F63&lt;&gt;"",F63,IF($D$37&lt;&gt;"",$D$37,IF((IF(F62="",IF($D$35="",0,$D$35),F62))=0,0,F52/(IF(F62="",IF($D$35="",0,$D$35),F62)))))))*(IF(F62="",IF($D$35="",0,$D$35),F62))))</f>
        <v/>
      </c>
      <c r="N94" s="75" t="str">
        <f aca="false">IF(L94="","",L94+M94)</f>
        <v/>
      </c>
      <c r="O94" s="75" t="str">
        <f aca="false">IF(G52="","",IF(9&gt;IF(G55="",10,G55),"",G52*(1+IF(G53="",0,G53))^ROUNDDOWN((9-1)/IF(G54="",5,G54),0)))</f>
        <v/>
      </c>
      <c r="P94" s="75" t="str">
        <f aca="false">IF(O94="","",IF((IF(G62="",IF($D$35="",0,$D$35),G62))=0,0,MAX(0,2392079.61-(IF(G63&lt;&gt;"",G63,IF($D$37&lt;&gt;"",$D$37,IF((IF(G62="",IF($D$35="",0,$D$35),G62))=0,0,G52/(IF(G62="",IF($D$35="",0,$D$35),G62)))))))*(IF(G62="",IF($D$35="",0,$D$35),G62))))</f>
        <v/>
      </c>
      <c r="Q94" s="75" t="str">
        <f aca="false">IF(O94="","",O94+P94)</f>
        <v/>
      </c>
      <c r="R94" s="75" t="str">
        <f aca="false">IF(H52="","",IF(9&gt;IF(H55="",10,H55),"",H52*(1+IF(H53="",0,H53))^ROUNDDOWN((9-1)/IF(H54="",5,H54),0)))</f>
        <v/>
      </c>
      <c r="S94" s="75" t="str">
        <f aca="false">IF(R94="","",IF((IF(H62="",IF($D$35="",0,$D$35),H62))=0,0,MAX(0,2392079.61-(IF(H63&lt;&gt;"",H63,IF($D$37&lt;&gt;"",$D$37,IF((IF(H62="",IF($D$35="",0,$D$35),H62))=0,0,H52/(IF(H62="",IF($D$35="",0,$D$35),H62)))))))*(IF(H62="",IF($D$35="",0,$D$35),H62))))</f>
        <v/>
      </c>
      <c r="T94" s="75" t="str">
        <f aca="false">IF(R94="","",R94+S94)</f>
        <v/>
      </c>
    </row>
    <row r="95" customFormat="false" ht="15" hidden="false" customHeight="false" outlineLevel="0" collapsed="false">
      <c r="A95" s="74" t="n">
        <v>10</v>
      </c>
      <c r="B95" s="75" t="n">
        <v>2439921</v>
      </c>
      <c r="C95" s="76" t="n">
        <v>68501</v>
      </c>
      <c r="D95" s="76" t="n">
        <v>0</v>
      </c>
      <c r="E95" s="76" t="n">
        <v>68501</v>
      </c>
      <c r="F95" s="75" t="n">
        <f aca="false">IF(D52="","",IF(10&gt;IF(D55="",10,D55),"",D52*(1+IF(D53="",0,D53))^ROUNDDOWN((10-1)/IF(D54="",5,D54),0)))</f>
        <v>63519.48</v>
      </c>
      <c r="G95" s="75" t="n">
        <f aca="false">IF(F95="","",IF((IF(D62="",IF($D$35="",0,$D$35),D62))=0,0,MAX(0,2439921.2-(IF(D63&lt;&gt;"",D63,IF($D$37&lt;&gt;"",$D$37,IF((IF(D62="",IF($D$35="",0,$D$35),D62))=0,0,D52/(IF(D62="",IF($D$35="",0,$D$35),D62)))))))*(IF(D62="",IF($D$35="",0,$D$35),D62))))</f>
        <v>0</v>
      </c>
      <c r="H95" s="75" t="n">
        <f aca="false">IF(F95="","",F95+G95)</f>
        <v>63519.48</v>
      </c>
      <c r="I95" s="75" t="str">
        <f aca="false">IF(E52="","",IF(10&gt;IF(E55="",10,E55),"",E52*(1+IF(E53="",0,E53))^ROUNDDOWN((10-1)/IF(E54="",5,E54),0)))</f>
        <v/>
      </c>
      <c r="J95" s="75" t="str">
        <f aca="false">IF(I95="","",IF((IF(E62="",IF($D$35="",0,$D$35),E62))=0,0,MAX(0,2439921.2-(IF(E63&lt;&gt;"",E63,IF($D$37&lt;&gt;"",$D$37,IF((IF(E62="",IF($D$35="",0,$D$35),E62))=0,0,E52/(IF(E62="",IF($D$35="",0,$D$35),E62)))))))*(IF(E62="",IF($D$35="",0,$D$35),E62))))</f>
        <v/>
      </c>
      <c r="K95" s="75" t="str">
        <f aca="false">IF(I95="","",I95+J95)</f>
        <v/>
      </c>
      <c r="L95" s="75" t="str">
        <f aca="false">IF(F52="","",IF(10&gt;IF(F55="",10,F55),"",F52*(1+IF(F53="",0,F53))^ROUNDDOWN((10-1)/IF(F54="",5,F54),0)))</f>
        <v/>
      </c>
      <c r="M95" s="75" t="str">
        <f aca="false">IF(L95="","",IF((IF(F62="",IF($D$35="",0,$D$35),F62))=0,0,MAX(0,2439921.2-(IF(F63&lt;&gt;"",F63,IF($D$37&lt;&gt;"",$D$37,IF((IF(F62="",IF($D$35="",0,$D$35),F62))=0,0,F52/(IF(F62="",IF($D$35="",0,$D$35),F62)))))))*(IF(F62="",IF($D$35="",0,$D$35),F62))))</f>
        <v/>
      </c>
      <c r="N95" s="75" t="str">
        <f aca="false">IF(L95="","",L95+M95)</f>
        <v/>
      </c>
      <c r="O95" s="75" t="str">
        <f aca="false">IF(G52="","",IF(10&gt;IF(G55="",10,G55),"",G52*(1+IF(G53="",0,G53))^ROUNDDOWN((10-1)/IF(G54="",5,G54),0)))</f>
        <v/>
      </c>
      <c r="P95" s="75" t="str">
        <f aca="false">IF(O95="","",IF((IF(G62="",IF($D$35="",0,$D$35),G62))=0,0,MAX(0,2439921.2-(IF(G63&lt;&gt;"",G63,IF($D$37&lt;&gt;"",$D$37,IF((IF(G62="",IF($D$35="",0,$D$35),G62))=0,0,G52/(IF(G62="",IF($D$35="",0,$D$35),G62)))))))*(IF(G62="",IF($D$35="",0,$D$35),G62))))</f>
        <v/>
      </c>
      <c r="Q95" s="75" t="str">
        <f aca="false">IF(O95="","",O95+P95)</f>
        <v/>
      </c>
      <c r="R95" s="75" t="str">
        <f aca="false">IF(H52="","",IF(10&gt;IF(H55="",10,H55),"",H52*(1+IF(H53="",0,H53))^ROUNDDOWN((10-1)/IF(H54="",5,H54),0)))</f>
        <v/>
      </c>
      <c r="S95" s="75" t="str">
        <f aca="false">IF(R95="","",IF((IF(H62="",IF($D$35="",0,$D$35),H62))=0,0,MAX(0,2439921.2-(IF(H63&lt;&gt;"",H63,IF($D$37&lt;&gt;"",$D$37,IF((IF(H62="",IF($D$35="",0,$D$35),H62))=0,0,H52/(IF(H62="",IF($D$35="",0,$D$35),H62)))))))*(IF(H62="",IF($D$35="",0,$D$35),H62))))</f>
        <v/>
      </c>
      <c r="T95" s="75" t="str">
        <f aca="false">IF(R95="","",R95+S95)</f>
        <v/>
      </c>
    </row>
    <row r="96" customFormat="false" ht="15" hidden="false" customHeight="false" outlineLevel="0" collapsed="false">
      <c r="A96" s="74" t="n">
        <v>11</v>
      </c>
      <c r="B96" s="75" t="n">
        <v>2488720</v>
      </c>
      <c r="C96" s="76" t="n">
        <v>75351</v>
      </c>
      <c r="D96" s="76" t="n">
        <v>0</v>
      </c>
      <c r="E96" s="76" t="n">
        <v>75351</v>
      </c>
      <c r="F96" s="75" t="n">
        <f aca="false">IF(D52="","",IF(11&gt;IF(D55="",10,D55),"",D52*(1+IF(D53="",0,D53))^ROUNDDOWN((11-1)/IF(D54="",5,D54),0)))</f>
        <v>64789.8696</v>
      </c>
      <c r="G96" s="75" t="n">
        <f aca="false">IF(F96="","",IF((IF(D62="",IF($D$35="",0,$D$35),D62))=0,0,MAX(0,2488719.62-(IF(D63&lt;&gt;"",D63,IF($D$37&lt;&gt;"",$D$37,IF((IF(D62="",IF($D$35="",0,$D$35),D62))=0,0,D52/(IF(D62="",IF($D$35="",0,$D$35),D62)))))))*(IF(D62="",IF($D$35="",0,$D$35),D62))))</f>
        <v>0</v>
      </c>
      <c r="H96" s="75" t="n">
        <f aca="false">IF(F96="","",F96+G96)</f>
        <v>64789.8696</v>
      </c>
      <c r="I96" s="75" t="str">
        <f aca="false">IF(E52="","",IF(11&gt;IF(E55="",10,E55),"",E52*(1+IF(E53="",0,E53))^ROUNDDOWN((11-1)/IF(E54="",5,E54),0)))</f>
        <v/>
      </c>
      <c r="J96" s="75" t="str">
        <f aca="false">IF(I96="","",IF((IF(E62="",IF($D$35="",0,$D$35),E62))=0,0,MAX(0,2488719.62-(IF(E63&lt;&gt;"",E63,IF($D$37&lt;&gt;"",$D$37,IF((IF(E62="",IF($D$35="",0,$D$35),E62))=0,0,E52/(IF(E62="",IF($D$35="",0,$D$35),E62)))))))*(IF(E62="",IF($D$35="",0,$D$35),E62))))</f>
        <v/>
      </c>
      <c r="K96" s="75" t="str">
        <f aca="false">IF(I96="","",I96+J96)</f>
        <v/>
      </c>
      <c r="L96" s="75" t="str">
        <f aca="false">IF(F52="","",IF(11&gt;IF(F55="",10,F55),"",F52*(1+IF(F53="",0,F53))^ROUNDDOWN((11-1)/IF(F54="",5,F54),0)))</f>
        <v/>
      </c>
      <c r="M96" s="75" t="str">
        <f aca="false">IF(L96="","",IF((IF(F62="",IF($D$35="",0,$D$35),F62))=0,0,MAX(0,2488719.62-(IF(F63&lt;&gt;"",F63,IF($D$37&lt;&gt;"",$D$37,IF((IF(F62="",IF($D$35="",0,$D$35),F62))=0,0,F52/(IF(F62="",IF($D$35="",0,$D$35),F62)))))))*(IF(F62="",IF($D$35="",0,$D$35),F62))))</f>
        <v/>
      </c>
      <c r="N96" s="75" t="str">
        <f aca="false">IF(L96="","",L96+M96)</f>
        <v/>
      </c>
      <c r="O96" s="75" t="str">
        <f aca="false">IF(G52="","",IF(11&gt;IF(G55="",10,G55),"",G52*(1+IF(G53="",0,G53))^ROUNDDOWN((11-1)/IF(G54="",5,G54),0)))</f>
        <v/>
      </c>
      <c r="P96" s="75" t="str">
        <f aca="false">IF(O96="","",IF((IF(G62="",IF($D$35="",0,$D$35),G62))=0,0,MAX(0,2488719.62-(IF(G63&lt;&gt;"",G63,IF($D$37&lt;&gt;"",$D$37,IF((IF(G62="",IF($D$35="",0,$D$35),G62))=0,0,G52/(IF(G62="",IF($D$35="",0,$D$35),G62)))))))*(IF(G62="",IF($D$35="",0,$D$35),G62))))</f>
        <v/>
      </c>
      <c r="Q96" s="75" t="str">
        <f aca="false">IF(O96="","",O96+P96)</f>
        <v/>
      </c>
      <c r="R96" s="75" t="str">
        <f aca="false">IF(H52="","",IF(11&gt;IF(H55="",10,H55),"",H52*(1+IF(H53="",0,H53))^ROUNDDOWN((11-1)/IF(H54="",5,H54),0)))</f>
        <v/>
      </c>
      <c r="S96" s="75" t="str">
        <f aca="false">IF(R96="","",IF((IF(H62="",IF($D$35="",0,$D$35),H62))=0,0,MAX(0,2488719.62-(IF(H63&lt;&gt;"",H63,IF($D$37&lt;&gt;"",$D$37,IF((IF(H62="",IF($D$35="",0,$D$35),H62))=0,0,H52/(IF(H62="",IF($D$35="",0,$D$35),H62)))))))*(IF(H62="",IF($D$35="",0,$D$35),H62))))</f>
        <v/>
      </c>
      <c r="T96" s="75" t="str">
        <f aca="false">IF(R96="","",R96+S96)</f>
        <v/>
      </c>
    </row>
    <row r="97" customFormat="false" ht="15" hidden="false" customHeight="false" outlineLevel="0" collapsed="false">
      <c r="A97" s="74" t="n">
        <v>12</v>
      </c>
      <c r="B97" s="75" t="n">
        <v>2538494</v>
      </c>
      <c r="C97" s="76" t="n">
        <v>75351</v>
      </c>
      <c r="D97" s="76" t="n">
        <v>0</v>
      </c>
      <c r="E97" s="76" t="n">
        <v>75351</v>
      </c>
      <c r="F97" s="75" t="n">
        <f aca="false">IF(D52="","",IF(12&gt;IF(D55="",10,D55),"",D52*(1+IF(D53="",0,D53))^ROUNDDOWN((12-1)/IF(D54="",5,D54),0)))</f>
        <v>64789.8696</v>
      </c>
      <c r="G97" s="75" t="n">
        <f aca="false">IF(F97="","",IF((IF(D62="",IF($D$35="",0,$D$35),D62))=0,0,MAX(0,2538494.01-(IF(D63&lt;&gt;"",D63,IF($D$37&lt;&gt;"",$D$37,IF((IF(D62="",IF($D$35="",0,$D$35),D62))=0,0,D52/(IF(D62="",IF($D$35="",0,$D$35),D62)))))))*(IF(D62="",IF($D$35="",0,$D$35),D62))))</f>
        <v>0</v>
      </c>
      <c r="H97" s="75" t="n">
        <f aca="false">IF(F97="","",F97+G97)</f>
        <v>64789.8696</v>
      </c>
      <c r="I97" s="75" t="str">
        <f aca="false">IF(E52="","",IF(12&gt;IF(E55="",10,E55),"",E52*(1+IF(E53="",0,E53))^ROUNDDOWN((12-1)/IF(E54="",5,E54),0)))</f>
        <v/>
      </c>
      <c r="J97" s="75" t="str">
        <f aca="false">IF(I97="","",IF((IF(E62="",IF($D$35="",0,$D$35),E62))=0,0,MAX(0,2538494.01-(IF(E63&lt;&gt;"",E63,IF($D$37&lt;&gt;"",$D$37,IF((IF(E62="",IF($D$35="",0,$D$35),E62))=0,0,E52/(IF(E62="",IF($D$35="",0,$D$35),E62)))))))*(IF(E62="",IF($D$35="",0,$D$35),E62))))</f>
        <v/>
      </c>
      <c r="K97" s="75" t="str">
        <f aca="false">IF(I97="","",I97+J97)</f>
        <v/>
      </c>
      <c r="L97" s="75" t="str">
        <f aca="false">IF(F52="","",IF(12&gt;IF(F55="",10,F55),"",F52*(1+IF(F53="",0,F53))^ROUNDDOWN((12-1)/IF(F54="",5,F54),0)))</f>
        <v/>
      </c>
      <c r="M97" s="75" t="str">
        <f aca="false">IF(L97="","",IF((IF(F62="",IF($D$35="",0,$D$35),F62))=0,0,MAX(0,2538494.01-(IF(F63&lt;&gt;"",F63,IF($D$37&lt;&gt;"",$D$37,IF((IF(F62="",IF($D$35="",0,$D$35),F62))=0,0,F52/(IF(F62="",IF($D$35="",0,$D$35),F62)))))))*(IF(F62="",IF($D$35="",0,$D$35),F62))))</f>
        <v/>
      </c>
      <c r="N97" s="75" t="str">
        <f aca="false">IF(L97="","",L97+M97)</f>
        <v/>
      </c>
      <c r="O97" s="75" t="str">
        <f aca="false">IF(G52="","",IF(12&gt;IF(G55="",10,G55),"",G52*(1+IF(G53="",0,G53))^ROUNDDOWN((12-1)/IF(G54="",5,G54),0)))</f>
        <v/>
      </c>
      <c r="P97" s="75" t="str">
        <f aca="false">IF(O97="","",IF((IF(G62="",IF($D$35="",0,$D$35),G62))=0,0,MAX(0,2538494.01-(IF(G63&lt;&gt;"",G63,IF($D$37&lt;&gt;"",$D$37,IF((IF(G62="",IF($D$35="",0,$D$35),G62))=0,0,G52/(IF(G62="",IF($D$35="",0,$D$35),G62)))))))*(IF(G62="",IF($D$35="",0,$D$35),G62))))</f>
        <v/>
      </c>
      <c r="Q97" s="75" t="str">
        <f aca="false">IF(O97="","",O97+P97)</f>
        <v/>
      </c>
      <c r="R97" s="75" t="str">
        <f aca="false">IF(H52="","",IF(12&gt;IF(H55="",10,H55),"",H52*(1+IF(H53="",0,H53))^ROUNDDOWN((12-1)/IF(H54="",5,H54),0)))</f>
        <v/>
      </c>
      <c r="S97" s="75" t="str">
        <f aca="false">IF(R97="","",IF((IF(H62="",IF($D$35="",0,$D$35),H62))=0,0,MAX(0,2538494.01-(IF(H63&lt;&gt;"",H63,IF($D$37&lt;&gt;"",$D$37,IF((IF(H62="",IF($D$35="",0,$D$35),H62))=0,0,H52/(IF(H62="",IF($D$35="",0,$D$35),H62)))))))*(IF(H62="",IF($D$35="",0,$D$35),H62))))</f>
        <v/>
      </c>
      <c r="T97" s="75" t="str">
        <f aca="false">IF(R97="","",R97+S97)</f>
        <v/>
      </c>
    </row>
    <row r="98" customFormat="false" ht="15" hidden="false" customHeight="false" outlineLevel="0" collapsed="false">
      <c r="A98" s="74" t="n">
        <v>13</v>
      </c>
      <c r="B98" s="75" t="n">
        <v>2589264</v>
      </c>
      <c r="C98" s="76" t="n">
        <v>75351</v>
      </c>
      <c r="D98" s="76" t="n">
        <v>0</v>
      </c>
      <c r="E98" s="76" t="n">
        <v>75351</v>
      </c>
      <c r="F98" s="75" t="n">
        <f aca="false">IF(D52="","",IF(13&gt;IF(D55="",10,D55),"",D52*(1+IF(D53="",0,D53))^ROUNDDOWN((13-1)/IF(D54="",5,D54),0)))</f>
        <v>64789.8696</v>
      </c>
      <c r="G98" s="75" t="n">
        <f aca="false">IF(F98="","",IF((IF(D62="",IF($D$35="",0,$D$35),D62))=0,0,MAX(0,2589263.89-(IF(D63&lt;&gt;"",D63,IF($D$37&lt;&gt;"",$D$37,IF((IF(D62="",IF($D$35="",0,$D$35),D62))=0,0,D52/(IF(D62="",IF($D$35="",0,$D$35),D62)))))))*(IF(D62="",IF($D$35="",0,$D$35),D62))))</f>
        <v>0</v>
      </c>
      <c r="H98" s="75" t="n">
        <f aca="false">IF(F98="","",F98+G98)</f>
        <v>64789.8696</v>
      </c>
      <c r="I98" s="75" t="str">
        <f aca="false">IF(E52="","",IF(13&gt;IF(E55="",10,E55),"",E52*(1+IF(E53="",0,E53))^ROUNDDOWN((13-1)/IF(E54="",5,E54),0)))</f>
        <v/>
      </c>
      <c r="J98" s="75" t="str">
        <f aca="false">IF(I98="","",IF((IF(E62="",IF($D$35="",0,$D$35),E62))=0,0,MAX(0,2589263.89-(IF(E63&lt;&gt;"",E63,IF($D$37&lt;&gt;"",$D$37,IF((IF(E62="",IF($D$35="",0,$D$35),E62))=0,0,E52/(IF(E62="",IF($D$35="",0,$D$35),E62)))))))*(IF(E62="",IF($D$35="",0,$D$35),E62))))</f>
        <v/>
      </c>
      <c r="K98" s="75" t="str">
        <f aca="false">IF(I98="","",I98+J98)</f>
        <v/>
      </c>
      <c r="L98" s="75" t="str">
        <f aca="false">IF(F52="","",IF(13&gt;IF(F55="",10,F55),"",F52*(1+IF(F53="",0,F53))^ROUNDDOWN((13-1)/IF(F54="",5,F54),0)))</f>
        <v/>
      </c>
      <c r="M98" s="75" t="str">
        <f aca="false">IF(L98="","",IF((IF(F62="",IF($D$35="",0,$D$35),F62))=0,0,MAX(0,2589263.89-(IF(F63&lt;&gt;"",F63,IF($D$37&lt;&gt;"",$D$37,IF((IF(F62="",IF($D$35="",0,$D$35),F62))=0,0,F52/(IF(F62="",IF($D$35="",0,$D$35),F62)))))))*(IF(F62="",IF($D$35="",0,$D$35),F62))))</f>
        <v/>
      </c>
      <c r="N98" s="75" t="str">
        <f aca="false">IF(L98="","",L98+M98)</f>
        <v/>
      </c>
      <c r="O98" s="75" t="str">
        <f aca="false">IF(G52="","",IF(13&gt;IF(G55="",10,G55),"",G52*(1+IF(G53="",0,G53))^ROUNDDOWN((13-1)/IF(G54="",5,G54),0)))</f>
        <v/>
      </c>
      <c r="P98" s="75" t="str">
        <f aca="false">IF(O98="","",IF((IF(G62="",IF($D$35="",0,$D$35),G62))=0,0,MAX(0,2589263.89-(IF(G63&lt;&gt;"",G63,IF($D$37&lt;&gt;"",$D$37,IF((IF(G62="",IF($D$35="",0,$D$35),G62))=0,0,G52/(IF(G62="",IF($D$35="",0,$D$35),G62)))))))*(IF(G62="",IF($D$35="",0,$D$35),G62))))</f>
        <v/>
      </c>
      <c r="Q98" s="75" t="str">
        <f aca="false">IF(O98="","",O98+P98)</f>
        <v/>
      </c>
      <c r="R98" s="75" t="str">
        <f aca="false">IF(H52="","",IF(13&gt;IF(H55="",10,H55),"",H52*(1+IF(H53="",0,H53))^ROUNDDOWN((13-1)/IF(H54="",5,H54),0)))</f>
        <v/>
      </c>
      <c r="S98" s="75" t="str">
        <f aca="false">IF(R98="","",IF((IF(H62="",IF($D$35="",0,$D$35),H62))=0,0,MAX(0,2589263.89-(IF(H63&lt;&gt;"",H63,IF($D$37&lt;&gt;"",$D$37,IF((IF(H62="",IF($D$35="",0,$D$35),H62))=0,0,H52/(IF(H62="",IF($D$35="",0,$D$35),H62)))))))*(IF(H62="",IF($D$35="",0,$D$35),H62))))</f>
        <v/>
      </c>
      <c r="T98" s="75" t="str">
        <f aca="false">IF(R98="","",R98+S98)</f>
        <v/>
      </c>
    </row>
    <row r="99" customFormat="false" ht="15" hidden="false" customHeight="false" outlineLevel="0" collapsed="false">
      <c r="A99" s="74" t="n">
        <v>14</v>
      </c>
      <c r="B99" s="75" t="n">
        <v>2641049</v>
      </c>
      <c r="C99" s="76" t="n">
        <v>75351</v>
      </c>
      <c r="D99" s="76" t="n">
        <v>0</v>
      </c>
      <c r="E99" s="76" t="n">
        <v>75351</v>
      </c>
      <c r="F99" s="75" t="n">
        <f aca="false">IF(D52="","",IF(14&gt;IF(D55="",10,D55),"",D52*(1+IF(D53="",0,D53))^ROUNDDOWN((14-1)/IF(D54="",5,D54),0)))</f>
        <v>64789.8696</v>
      </c>
      <c r="G99" s="75" t="n">
        <f aca="false">IF(F99="","",IF((IF(D62="",IF($D$35="",0,$D$35),D62))=0,0,MAX(0,2641049.17-(IF(D63&lt;&gt;"",D63,IF($D$37&lt;&gt;"",$D$37,IF((IF(D62="",IF($D$35="",0,$D$35),D62))=0,0,D52/(IF(D62="",IF($D$35="",0,$D$35),D62)))))))*(IF(D62="",IF($D$35="",0,$D$35),D62))))</f>
        <v>0</v>
      </c>
      <c r="H99" s="75" t="n">
        <f aca="false">IF(F99="","",F99+G99)</f>
        <v>64789.8696</v>
      </c>
      <c r="I99" s="75" t="str">
        <f aca="false">IF(E52="","",IF(14&gt;IF(E55="",10,E55),"",E52*(1+IF(E53="",0,E53))^ROUNDDOWN((14-1)/IF(E54="",5,E54),0)))</f>
        <v/>
      </c>
      <c r="J99" s="75" t="str">
        <f aca="false">IF(I99="","",IF((IF(E62="",IF($D$35="",0,$D$35),E62))=0,0,MAX(0,2641049.17-(IF(E63&lt;&gt;"",E63,IF($D$37&lt;&gt;"",$D$37,IF((IF(E62="",IF($D$35="",0,$D$35),E62))=0,0,E52/(IF(E62="",IF($D$35="",0,$D$35),E62)))))))*(IF(E62="",IF($D$35="",0,$D$35),E62))))</f>
        <v/>
      </c>
      <c r="K99" s="75" t="str">
        <f aca="false">IF(I99="","",I99+J99)</f>
        <v/>
      </c>
      <c r="L99" s="75" t="str">
        <f aca="false">IF(F52="","",IF(14&gt;IF(F55="",10,F55),"",F52*(1+IF(F53="",0,F53))^ROUNDDOWN((14-1)/IF(F54="",5,F54),0)))</f>
        <v/>
      </c>
      <c r="M99" s="75" t="str">
        <f aca="false">IF(L99="","",IF((IF(F62="",IF($D$35="",0,$D$35),F62))=0,0,MAX(0,2641049.17-(IF(F63&lt;&gt;"",F63,IF($D$37&lt;&gt;"",$D$37,IF((IF(F62="",IF($D$35="",0,$D$35),F62))=0,0,F52/(IF(F62="",IF($D$35="",0,$D$35),F62)))))))*(IF(F62="",IF($D$35="",0,$D$35),F62))))</f>
        <v/>
      </c>
      <c r="N99" s="75" t="str">
        <f aca="false">IF(L99="","",L99+M99)</f>
        <v/>
      </c>
      <c r="O99" s="75" t="str">
        <f aca="false">IF(G52="","",IF(14&gt;IF(G55="",10,G55),"",G52*(1+IF(G53="",0,G53))^ROUNDDOWN((14-1)/IF(G54="",5,G54),0)))</f>
        <v/>
      </c>
      <c r="P99" s="75" t="str">
        <f aca="false">IF(O99="","",IF((IF(G62="",IF($D$35="",0,$D$35),G62))=0,0,MAX(0,2641049.17-(IF(G63&lt;&gt;"",G63,IF($D$37&lt;&gt;"",$D$37,IF((IF(G62="",IF($D$35="",0,$D$35),G62))=0,0,G52/(IF(G62="",IF($D$35="",0,$D$35),G62)))))))*(IF(G62="",IF($D$35="",0,$D$35),G62))))</f>
        <v/>
      </c>
      <c r="Q99" s="75" t="str">
        <f aca="false">IF(O99="","",O99+P99)</f>
        <v/>
      </c>
      <c r="R99" s="75" t="str">
        <f aca="false">IF(H52="","",IF(14&gt;IF(H55="",10,H55),"",H52*(1+IF(H53="",0,H53))^ROUNDDOWN((14-1)/IF(H54="",5,H54),0)))</f>
        <v/>
      </c>
      <c r="S99" s="75" t="str">
        <f aca="false">IF(R99="","",IF((IF(H62="",IF($D$35="",0,$D$35),H62))=0,0,MAX(0,2641049.17-(IF(H63&lt;&gt;"",H63,IF($D$37&lt;&gt;"",$D$37,IF((IF(H62="",IF($D$35="",0,$D$35),H62))=0,0,H52/(IF(H62="",IF($D$35="",0,$D$35),H62)))))))*(IF(H62="",IF($D$35="",0,$D$35),H62))))</f>
        <v/>
      </c>
      <c r="T99" s="75" t="str">
        <f aca="false">IF(R99="","",R99+S99)</f>
        <v/>
      </c>
    </row>
    <row r="100" customFormat="false" ht="15" hidden="false" customHeight="false" outlineLevel="0" collapsed="false">
      <c r="A100" s="74" t="n">
        <v>15</v>
      </c>
      <c r="B100" s="75" t="n">
        <v>2693870</v>
      </c>
      <c r="C100" s="76" t="n">
        <v>75351</v>
      </c>
      <c r="D100" s="76" t="n">
        <v>0</v>
      </c>
      <c r="E100" s="76" t="n">
        <v>75351</v>
      </c>
      <c r="F100" s="75" t="n">
        <f aca="false">IF(D52="","",IF(15&gt;IF(D55="",10,D55),"",D52*(1+IF(D53="",0,D53))^ROUNDDOWN((15-1)/IF(D54="",5,D54),0)))</f>
        <v>64789.8696</v>
      </c>
      <c r="G100" s="75" t="n">
        <f aca="false">IF(F100="","",IF((IF(D62="",IF($D$35="",0,$D$35),D62))=0,0,MAX(0,2693870.16-(IF(D63&lt;&gt;"",D63,IF($D$37&lt;&gt;"",$D$37,IF((IF(D62="",IF($D$35="",0,$D$35),D62))=0,0,D52/(IF(D62="",IF($D$35="",0,$D$35),D62)))))))*(IF(D62="",IF($D$35="",0,$D$35),D62))))</f>
        <v>0</v>
      </c>
      <c r="H100" s="75" t="n">
        <f aca="false">IF(F100="","",F100+G100)</f>
        <v>64789.8696</v>
      </c>
      <c r="I100" s="75" t="str">
        <f aca="false">IF(E52="","",IF(15&gt;IF(E55="",10,E55),"",E52*(1+IF(E53="",0,E53))^ROUNDDOWN((15-1)/IF(E54="",5,E54),0)))</f>
        <v/>
      </c>
      <c r="J100" s="75" t="str">
        <f aca="false">IF(I100="","",IF((IF(E62="",IF($D$35="",0,$D$35),E62))=0,0,MAX(0,2693870.16-(IF(E63&lt;&gt;"",E63,IF($D$37&lt;&gt;"",$D$37,IF((IF(E62="",IF($D$35="",0,$D$35),E62))=0,0,E52/(IF(E62="",IF($D$35="",0,$D$35),E62)))))))*(IF(E62="",IF($D$35="",0,$D$35),E62))))</f>
        <v/>
      </c>
      <c r="K100" s="75" t="str">
        <f aca="false">IF(I100="","",I100+J100)</f>
        <v/>
      </c>
      <c r="L100" s="75" t="str">
        <f aca="false">IF(F52="","",IF(15&gt;IF(F55="",10,F55),"",F52*(1+IF(F53="",0,F53))^ROUNDDOWN((15-1)/IF(F54="",5,F54),0)))</f>
        <v/>
      </c>
      <c r="M100" s="75" t="str">
        <f aca="false">IF(L100="","",IF((IF(F62="",IF($D$35="",0,$D$35),F62))=0,0,MAX(0,2693870.16-(IF(F63&lt;&gt;"",F63,IF($D$37&lt;&gt;"",$D$37,IF((IF(F62="",IF($D$35="",0,$D$35),F62))=0,0,F52/(IF(F62="",IF($D$35="",0,$D$35),F62)))))))*(IF(F62="",IF($D$35="",0,$D$35),F62))))</f>
        <v/>
      </c>
      <c r="N100" s="75" t="str">
        <f aca="false">IF(L100="","",L100+M100)</f>
        <v/>
      </c>
      <c r="O100" s="75" t="str">
        <f aca="false">IF(G52="","",IF(15&gt;IF(G55="",10,G55),"",G52*(1+IF(G53="",0,G53))^ROUNDDOWN((15-1)/IF(G54="",5,G54),0)))</f>
        <v/>
      </c>
      <c r="P100" s="75" t="str">
        <f aca="false">IF(O100="","",IF((IF(G62="",IF($D$35="",0,$D$35),G62))=0,0,MAX(0,2693870.16-(IF(G63&lt;&gt;"",G63,IF($D$37&lt;&gt;"",$D$37,IF((IF(G62="",IF($D$35="",0,$D$35),G62))=0,0,G52/(IF(G62="",IF($D$35="",0,$D$35),G62)))))))*(IF(G62="",IF($D$35="",0,$D$35),G62))))</f>
        <v/>
      </c>
      <c r="Q100" s="75" t="str">
        <f aca="false">IF(O100="","",O100+P100)</f>
        <v/>
      </c>
      <c r="R100" s="75" t="str">
        <f aca="false">IF(H52="","",IF(15&gt;IF(H55="",10,H55),"",H52*(1+IF(H53="",0,H53))^ROUNDDOWN((15-1)/IF(H54="",5,H54),0)))</f>
        <v/>
      </c>
      <c r="S100" s="75" t="str">
        <f aca="false">IF(R100="","",IF((IF(H62="",IF($D$35="",0,$D$35),H62))=0,0,MAX(0,2693870.16-(IF(H63&lt;&gt;"",H63,IF($D$37&lt;&gt;"",$D$37,IF((IF(H62="",IF($D$35="",0,$D$35),H62))=0,0,H52/(IF(H62="",IF($D$35="",0,$D$35),H62)))))))*(IF(H62="",IF($D$35="",0,$D$35),H62))))</f>
        <v/>
      </c>
      <c r="T100" s="75" t="str">
        <f aca="false">IF(R100="","",R100+S100)</f>
        <v/>
      </c>
    </row>
    <row r="101" customFormat="false" ht="15" hidden="false" customHeight="false" outlineLevel="0" collapsed="false">
      <c r="A101" s="74" t="n">
        <v>16</v>
      </c>
      <c r="B101" s="75" t="n">
        <v>2747748</v>
      </c>
      <c r="C101" s="76" t="n">
        <v>82886</v>
      </c>
      <c r="D101" s="76" t="n">
        <v>0</v>
      </c>
      <c r="E101" s="76" t="n">
        <v>82886</v>
      </c>
      <c r="F101" s="75" t="n">
        <f aca="false">IF(D52="","",IF(16&gt;IF(D55="",10,D55),"",D52*(1+IF(D53="",0,D53))^ROUNDDOWN((16-1)/IF(D54="",5,D54),0)))</f>
        <v>66085.666992</v>
      </c>
      <c r="G101" s="75" t="n">
        <f aca="false">IF(F101="","",IF((IF(D62="",IF($D$35="",0,$D$35),D62))=0,0,MAX(0,2747747.56-(IF(D63&lt;&gt;"",D63,IF($D$37&lt;&gt;"",$D$37,IF((IF(D62="",IF($D$35="",0,$D$35),D62))=0,0,D52/(IF(D62="",IF($D$35="",0,$D$35),D62)))))))*(IF(D62="",IF($D$35="",0,$D$35),D62))))</f>
        <v>0</v>
      </c>
      <c r="H101" s="75" t="n">
        <f aca="false">IF(F101="","",F101+G101)</f>
        <v>66085.666992</v>
      </c>
      <c r="I101" s="75" t="str">
        <f aca="false">IF(E52="","",IF(16&gt;IF(E55="",10,E55),"",E52*(1+IF(E53="",0,E53))^ROUNDDOWN((16-1)/IF(E54="",5,E54),0)))</f>
        <v/>
      </c>
      <c r="J101" s="75" t="str">
        <f aca="false">IF(I101="","",IF((IF(E62="",IF($D$35="",0,$D$35),E62))=0,0,MAX(0,2747747.56-(IF(E63&lt;&gt;"",E63,IF($D$37&lt;&gt;"",$D$37,IF((IF(E62="",IF($D$35="",0,$D$35),E62))=0,0,E52/(IF(E62="",IF($D$35="",0,$D$35),E62)))))))*(IF(E62="",IF($D$35="",0,$D$35),E62))))</f>
        <v/>
      </c>
      <c r="K101" s="75" t="str">
        <f aca="false">IF(I101="","",I101+J101)</f>
        <v/>
      </c>
      <c r="L101" s="75" t="str">
        <f aca="false">IF(F52="","",IF(16&gt;IF(F55="",10,F55),"",F52*(1+IF(F53="",0,F53))^ROUNDDOWN((16-1)/IF(F54="",5,F54),0)))</f>
        <v/>
      </c>
      <c r="M101" s="75" t="str">
        <f aca="false">IF(L101="","",IF((IF(F62="",IF($D$35="",0,$D$35),F62))=0,0,MAX(0,2747747.56-(IF(F63&lt;&gt;"",F63,IF($D$37&lt;&gt;"",$D$37,IF((IF(F62="",IF($D$35="",0,$D$35),F62))=0,0,F52/(IF(F62="",IF($D$35="",0,$D$35),F62)))))))*(IF(F62="",IF($D$35="",0,$D$35),F62))))</f>
        <v/>
      </c>
      <c r="N101" s="75" t="str">
        <f aca="false">IF(L101="","",L101+M101)</f>
        <v/>
      </c>
      <c r="O101" s="75" t="str">
        <f aca="false">IF(G52="","",IF(16&gt;IF(G55="",10,G55),"",G52*(1+IF(G53="",0,G53))^ROUNDDOWN((16-1)/IF(G54="",5,G54),0)))</f>
        <v/>
      </c>
      <c r="P101" s="75" t="str">
        <f aca="false">IF(O101="","",IF((IF(G62="",IF($D$35="",0,$D$35),G62))=0,0,MAX(0,2747747.56-(IF(G63&lt;&gt;"",G63,IF($D$37&lt;&gt;"",$D$37,IF((IF(G62="",IF($D$35="",0,$D$35),G62))=0,0,G52/(IF(G62="",IF($D$35="",0,$D$35),G62)))))))*(IF(G62="",IF($D$35="",0,$D$35),G62))))</f>
        <v/>
      </c>
      <c r="Q101" s="75" t="str">
        <f aca="false">IF(O101="","",O101+P101)</f>
        <v/>
      </c>
      <c r="R101" s="75" t="str">
        <f aca="false">IF(H52="","",IF(16&gt;IF(H55="",10,H55),"",H52*(1+IF(H53="",0,H53))^ROUNDDOWN((16-1)/IF(H54="",5,H54),0)))</f>
        <v/>
      </c>
      <c r="S101" s="75" t="str">
        <f aca="false">IF(R101="","",IF((IF(H62="",IF($D$35="",0,$D$35),H62))=0,0,MAX(0,2747747.56-(IF(H63&lt;&gt;"",H63,IF($D$37&lt;&gt;"",$D$37,IF((IF(H62="",IF($D$35="",0,$D$35),H62))=0,0,H52/(IF(H62="",IF($D$35="",0,$D$35),H62)))))))*(IF(H62="",IF($D$35="",0,$D$35),H62))))</f>
        <v/>
      </c>
      <c r="T101" s="75" t="str">
        <f aca="false">IF(R101="","",R101+S101)</f>
        <v/>
      </c>
    </row>
    <row r="102" customFormat="false" ht="15" hidden="false" customHeight="false" outlineLevel="0" collapsed="false">
      <c r="A102" s="74" t="n">
        <v>17</v>
      </c>
      <c r="B102" s="75" t="n">
        <v>2802703</v>
      </c>
      <c r="C102" s="76" t="n">
        <v>82886</v>
      </c>
      <c r="D102" s="76" t="n">
        <v>0</v>
      </c>
      <c r="E102" s="76" t="n">
        <v>82886</v>
      </c>
      <c r="F102" s="75" t="n">
        <f aca="false">IF(D52="","",IF(17&gt;IF(D55="",10,D55),"",D52*(1+IF(D53="",0,D53))^ROUNDDOWN((17-1)/IF(D54="",5,D54),0)))</f>
        <v>66085.666992</v>
      </c>
      <c r="G102" s="75" t="n">
        <f aca="false">IF(F102="","",IF((IF(D62="",IF($D$35="",0,$D$35),D62))=0,0,MAX(0,2802702.51-(IF(D63&lt;&gt;"",D63,IF($D$37&lt;&gt;"",$D$37,IF((IF(D62="",IF($D$35="",0,$D$35),D62))=0,0,D52/(IF(D62="",IF($D$35="",0,$D$35),D62)))))))*(IF(D62="",IF($D$35="",0,$D$35),D62))))</f>
        <v>0</v>
      </c>
      <c r="H102" s="75" t="n">
        <f aca="false">IF(F102="","",F102+G102)</f>
        <v>66085.666992</v>
      </c>
      <c r="I102" s="75" t="str">
        <f aca="false">IF(E52="","",IF(17&gt;IF(E55="",10,E55),"",E52*(1+IF(E53="",0,E53))^ROUNDDOWN((17-1)/IF(E54="",5,E54),0)))</f>
        <v/>
      </c>
      <c r="J102" s="75" t="str">
        <f aca="false">IF(I102="","",IF((IF(E62="",IF($D$35="",0,$D$35),E62))=0,0,MAX(0,2802702.51-(IF(E63&lt;&gt;"",E63,IF($D$37&lt;&gt;"",$D$37,IF((IF(E62="",IF($D$35="",0,$D$35),E62))=0,0,E52/(IF(E62="",IF($D$35="",0,$D$35),E62)))))))*(IF(E62="",IF($D$35="",0,$D$35),E62))))</f>
        <v/>
      </c>
      <c r="K102" s="75" t="str">
        <f aca="false">IF(I102="","",I102+J102)</f>
        <v/>
      </c>
      <c r="L102" s="75" t="str">
        <f aca="false">IF(F52="","",IF(17&gt;IF(F55="",10,F55),"",F52*(1+IF(F53="",0,F53))^ROUNDDOWN((17-1)/IF(F54="",5,F54),0)))</f>
        <v/>
      </c>
      <c r="M102" s="75" t="str">
        <f aca="false">IF(L102="","",IF((IF(F62="",IF($D$35="",0,$D$35),F62))=0,0,MAX(0,2802702.51-(IF(F63&lt;&gt;"",F63,IF($D$37&lt;&gt;"",$D$37,IF((IF(F62="",IF($D$35="",0,$D$35),F62))=0,0,F52/(IF(F62="",IF($D$35="",0,$D$35),F62)))))))*(IF(F62="",IF($D$35="",0,$D$35),F62))))</f>
        <v/>
      </c>
      <c r="N102" s="75" t="str">
        <f aca="false">IF(L102="","",L102+M102)</f>
        <v/>
      </c>
      <c r="O102" s="75" t="str">
        <f aca="false">IF(G52="","",IF(17&gt;IF(G55="",10,G55),"",G52*(1+IF(G53="",0,G53))^ROUNDDOWN((17-1)/IF(G54="",5,G54),0)))</f>
        <v/>
      </c>
      <c r="P102" s="75" t="str">
        <f aca="false">IF(O102="","",IF((IF(G62="",IF($D$35="",0,$D$35),G62))=0,0,MAX(0,2802702.51-(IF(G63&lt;&gt;"",G63,IF($D$37&lt;&gt;"",$D$37,IF((IF(G62="",IF($D$35="",0,$D$35),G62))=0,0,G52/(IF(G62="",IF($D$35="",0,$D$35),G62)))))))*(IF(G62="",IF($D$35="",0,$D$35),G62))))</f>
        <v/>
      </c>
      <c r="Q102" s="75" t="str">
        <f aca="false">IF(O102="","",O102+P102)</f>
        <v/>
      </c>
      <c r="R102" s="75" t="str">
        <f aca="false">IF(H52="","",IF(17&gt;IF(H55="",10,H55),"",H52*(1+IF(H53="",0,H53))^ROUNDDOWN((17-1)/IF(H54="",5,H54),0)))</f>
        <v/>
      </c>
      <c r="S102" s="75" t="str">
        <f aca="false">IF(R102="","",IF((IF(H62="",IF($D$35="",0,$D$35),H62))=0,0,MAX(0,2802702.51-(IF(H63&lt;&gt;"",H63,IF($D$37&lt;&gt;"",$D$37,IF((IF(H62="",IF($D$35="",0,$D$35),H62))=0,0,H52/(IF(H62="",IF($D$35="",0,$D$35),H62)))))))*(IF(H62="",IF($D$35="",0,$D$35),H62))))</f>
        <v/>
      </c>
      <c r="T102" s="75" t="str">
        <f aca="false">IF(R102="","",R102+S102)</f>
        <v/>
      </c>
    </row>
    <row r="103" customFormat="false" ht="15" hidden="false" customHeight="false" outlineLevel="0" collapsed="false">
      <c r="A103" s="74" t="n">
        <v>18</v>
      </c>
      <c r="B103" s="75" t="n">
        <v>2858757</v>
      </c>
      <c r="C103" s="76" t="n">
        <v>82886</v>
      </c>
      <c r="D103" s="76" t="n">
        <v>0</v>
      </c>
      <c r="E103" s="76" t="n">
        <v>82886</v>
      </c>
      <c r="F103" s="75" t="n">
        <f aca="false">IF(D52="","",IF(18&gt;IF(D55="",10,D55),"",D52*(1+IF(D53="",0,D53))^ROUNDDOWN((18-1)/IF(D54="",5,D54),0)))</f>
        <v>66085.666992</v>
      </c>
      <c r="G103" s="75" t="n">
        <f aca="false">IF(F103="","",IF((IF(D62="",IF($D$35="",0,$D$35),D62))=0,0,MAX(0,2858756.56-(IF(D63&lt;&gt;"",D63,IF($D$37&lt;&gt;"",$D$37,IF((IF(D62="",IF($D$35="",0,$D$35),D62))=0,0,D52/(IF(D62="",IF($D$35="",0,$D$35),D62)))))))*(IF(D62="",IF($D$35="",0,$D$35),D62))))</f>
        <v>0</v>
      </c>
      <c r="H103" s="75" t="n">
        <f aca="false">IF(F103="","",F103+G103)</f>
        <v>66085.666992</v>
      </c>
      <c r="I103" s="75" t="str">
        <f aca="false">IF(E52="","",IF(18&gt;IF(E55="",10,E55),"",E52*(1+IF(E53="",0,E53))^ROUNDDOWN((18-1)/IF(E54="",5,E54),0)))</f>
        <v/>
      </c>
      <c r="J103" s="75" t="str">
        <f aca="false">IF(I103="","",IF((IF(E62="",IF($D$35="",0,$D$35),E62))=0,0,MAX(0,2858756.56-(IF(E63&lt;&gt;"",E63,IF($D$37&lt;&gt;"",$D$37,IF((IF(E62="",IF($D$35="",0,$D$35),E62))=0,0,E52/(IF(E62="",IF($D$35="",0,$D$35),E62)))))))*(IF(E62="",IF($D$35="",0,$D$35),E62))))</f>
        <v/>
      </c>
      <c r="K103" s="75" t="str">
        <f aca="false">IF(I103="","",I103+J103)</f>
        <v/>
      </c>
      <c r="L103" s="75" t="str">
        <f aca="false">IF(F52="","",IF(18&gt;IF(F55="",10,F55),"",F52*(1+IF(F53="",0,F53))^ROUNDDOWN((18-1)/IF(F54="",5,F54),0)))</f>
        <v/>
      </c>
      <c r="M103" s="75" t="str">
        <f aca="false">IF(L103="","",IF((IF(F62="",IF($D$35="",0,$D$35),F62))=0,0,MAX(0,2858756.56-(IF(F63&lt;&gt;"",F63,IF($D$37&lt;&gt;"",$D$37,IF((IF(F62="",IF($D$35="",0,$D$35),F62))=0,0,F52/(IF(F62="",IF($D$35="",0,$D$35),F62)))))))*(IF(F62="",IF($D$35="",0,$D$35),F62))))</f>
        <v/>
      </c>
      <c r="N103" s="75" t="str">
        <f aca="false">IF(L103="","",L103+M103)</f>
        <v/>
      </c>
      <c r="O103" s="75" t="str">
        <f aca="false">IF(G52="","",IF(18&gt;IF(G55="",10,G55),"",G52*(1+IF(G53="",0,G53))^ROUNDDOWN((18-1)/IF(G54="",5,G54),0)))</f>
        <v/>
      </c>
      <c r="P103" s="75" t="str">
        <f aca="false">IF(O103="","",IF((IF(G62="",IF($D$35="",0,$D$35),G62))=0,0,MAX(0,2858756.56-(IF(G63&lt;&gt;"",G63,IF($D$37&lt;&gt;"",$D$37,IF((IF(G62="",IF($D$35="",0,$D$35),G62))=0,0,G52/(IF(G62="",IF($D$35="",0,$D$35),G62)))))))*(IF(G62="",IF($D$35="",0,$D$35),G62))))</f>
        <v/>
      </c>
      <c r="Q103" s="75" t="str">
        <f aca="false">IF(O103="","",O103+P103)</f>
        <v/>
      </c>
      <c r="R103" s="75" t="str">
        <f aca="false">IF(H52="","",IF(18&gt;IF(H55="",10,H55),"",H52*(1+IF(H53="",0,H53))^ROUNDDOWN((18-1)/IF(H54="",5,H54),0)))</f>
        <v/>
      </c>
      <c r="S103" s="75" t="str">
        <f aca="false">IF(R103="","",IF((IF(H62="",IF($D$35="",0,$D$35),H62))=0,0,MAX(0,2858756.56-(IF(H63&lt;&gt;"",H63,IF($D$37&lt;&gt;"",$D$37,IF((IF(H62="",IF($D$35="",0,$D$35),H62))=0,0,H52/(IF(H62="",IF($D$35="",0,$D$35),H62)))))))*(IF(H62="",IF($D$35="",0,$D$35),H62))))</f>
        <v/>
      </c>
      <c r="T103" s="75" t="str">
        <f aca="false">IF(R103="","",R103+S103)</f>
        <v/>
      </c>
    </row>
    <row r="104" customFormat="false" ht="15" hidden="false" customHeight="false" outlineLevel="0" collapsed="false">
      <c r="A104" s="74" t="n">
        <v>19</v>
      </c>
      <c r="B104" s="75" t="n">
        <v>2915932</v>
      </c>
      <c r="C104" s="76" t="n">
        <v>82886</v>
      </c>
      <c r="D104" s="76" t="n">
        <v>0</v>
      </c>
      <c r="E104" s="76" t="n">
        <v>82886</v>
      </c>
      <c r="F104" s="75" t="n">
        <f aca="false">IF(D52="","",IF(19&gt;IF(D55="",10,D55),"",D52*(1+IF(D53="",0,D53))^ROUNDDOWN((19-1)/IF(D54="",5,D54),0)))</f>
        <v>66085.666992</v>
      </c>
      <c r="G104" s="75" t="n">
        <f aca="false">IF(F104="","",IF((IF(D62="",IF($D$35="",0,$D$35),D62))=0,0,MAX(0,2915931.69-(IF(D63&lt;&gt;"",D63,IF($D$37&lt;&gt;"",$D$37,IF((IF(D62="",IF($D$35="",0,$D$35),D62))=0,0,D52/(IF(D62="",IF($D$35="",0,$D$35),D62)))))))*(IF(D62="",IF($D$35="",0,$D$35),D62))))</f>
        <v>0</v>
      </c>
      <c r="H104" s="75" t="n">
        <f aca="false">IF(F104="","",F104+G104)</f>
        <v>66085.666992</v>
      </c>
      <c r="I104" s="75" t="str">
        <f aca="false">IF(E52="","",IF(19&gt;IF(E55="",10,E55),"",E52*(1+IF(E53="",0,E53))^ROUNDDOWN((19-1)/IF(E54="",5,E54),0)))</f>
        <v/>
      </c>
      <c r="J104" s="75" t="str">
        <f aca="false">IF(I104="","",IF((IF(E62="",IF($D$35="",0,$D$35),E62))=0,0,MAX(0,2915931.69-(IF(E63&lt;&gt;"",E63,IF($D$37&lt;&gt;"",$D$37,IF((IF(E62="",IF($D$35="",0,$D$35),E62))=0,0,E52/(IF(E62="",IF($D$35="",0,$D$35),E62)))))))*(IF(E62="",IF($D$35="",0,$D$35),E62))))</f>
        <v/>
      </c>
      <c r="K104" s="75" t="str">
        <f aca="false">IF(I104="","",I104+J104)</f>
        <v/>
      </c>
      <c r="L104" s="75" t="str">
        <f aca="false">IF(F52="","",IF(19&gt;IF(F55="",10,F55),"",F52*(1+IF(F53="",0,F53))^ROUNDDOWN((19-1)/IF(F54="",5,F54),0)))</f>
        <v/>
      </c>
      <c r="M104" s="75" t="str">
        <f aca="false">IF(L104="","",IF((IF(F62="",IF($D$35="",0,$D$35),F62))=0,0,MAX(0,2915931.69-(IF(F63&lt;&gt;"",F63,IF($D$37&lt;&gt;"",$D$37,IF((IF(F62="",IF($D$35="",0,$D$35),F62))=0,0,F52/(IF(F62="",IF($D$35="",0,$D$35),F62)))))))*(IF(F62="",IF($D$35="",0,$D$35),F62))))</f>
        <v/>
      </c>
      <c r="N104" s="75" t="str">
        <f aca="false">IF(L104="","",L104+M104)</f>
        <v/>
      </c>
      <c r="O104" s="75" t="str">
        <f aca="false">IF(G52="","",IF(19&gt;IF(G55="",10,G55),"",G52*(1+IF(G53="",0,G53))^ROUNDDOWN((19-1)/IF(G54="",5,G54),0)))</f>
        <v/>
      </c>
      <c r="P104" s="75" t="str">
        <f aca="false">IF(O104="","",IF((IF(G62="",IF($D$35="",0,$D$35),G62))=0,0,MAX(0,2915931.69-(IF(G63&lt;&gt;"",G63,IF($D$37&lt;&gt;"",$D$37,IF((IF(G62="",IF($D$35="",0,$D$35),G62))=0,0,G52/(IF(G62="",IF($D$35="",0,$D$35),G62)))))))*(IF(G62="",IF($D$35="",0,$D$35),G62))))</f>
        <v/>
      </c>
      <c r="Q104" s="75" t="str">
        <f aca="false">IF(O104="","",O104+P104)</f>
        <v/>
      </c>
      <c r="R104" s="75" t="str">
        <f aca="false">IF(H52="","",IF(19&gt;IF(H55="",10,H55),"",H52*(1+IF(H53="",0,H53))^ROUNDDOWN((19-1)/IF(H54="",5,H54),0)))</f>
        <v/>
      </c>
      <c r="S104" s="75" t="str">
        <f aca="false">IF(R104="","",IF((IF(H62="",IF($D$35="",0,$D$35),H62))=0,0,MAX(0,2915931.69-(IF(H63&lt;&gt;"",H63,IF($D$37&lt;&gt;"",$D$37,IF((IF(H62="",IF($D$35="",0,$D$35),H62))=0,0,H52/(IF(H62="",IF($D$35="",0,$D$35),H62)))))))*(IF(H62="",IF($D$35="",0,$D$35),H62))))</f>
        <v/>
      </c>
      <c r="T104" s="75" t="str">
        <f aca="false">IF(R104="","",R104+S104)</f>
        <v/>
      </c>
    </row>
    <row r="105" customFormat="false" ht="15" hidden="false" customHeight="false" outlineLevel="0" collapsed="false">
      <c r="A105" s="74" t="n">
        <v>20</v>
      </c>
      <c r="B105" s="75" t="n">
        <v>2974250</v>
      </c>
      <c r="C105" s="76" t="n">
        <v>82886</v>
      </c>
      <c r="D105" s="76" t="n">
        <v>0</v>
      </c>
      <c r="E105" s="76" t="n">
        <v>82886</v>
      </c>
      <c r="F105" s="75" t="n">
        <f aca="false">IF(D52="","",IF(20&gt;IF(D55="",10,D55),"",D52*(1+IF(D53="",0,D53))^ROUNDDOWN((20-1)/IF(D54="",5,D54),0)))</f>
        <v>66085.666992</v>
      </c>
      <c r="G105" s="75" t="n">
        <f aca="false">IF(F105="","",IF((IF(D62="",IF($D$35="",0,$D$35),D62))=0,0,MAX(0,2974250.32-(IF(D63&lt;&gt;"",D63,IF($D$37&lt;&gt;"",$D$37,IF((IF(D62="",IF($D$35="",0,$D$35),D62))=0,0,D52/(IF(D62="",IF($D$35="",0,$D$35),D62)))))))*(IF(D62="",IF($D$35="",0,$D$35),D62))))</f>
        <v>0</v>
      </c>
      <c r="H105" s="75" t="n">
        <f aca="false">IF(F105="","",F105+G105)</f>
        <v>66085.666992</v>
      </c>
      <c r="I105" s="75" t="str">
        <f aca="false">IF(E52="","",IF(20&gt;IF(E55="",10,E55),"",E52*(1+IF(E53="",0,E53))^ROUNDDOWN((20-1)/IF(E54="",5,E54),0)))</f>
        <v/>
      </c>
      <c r="J105" s="75" t="str">
        <f aca="false">IF(I105="","",IF((IF(E62="",IF($D$35="",0,$D$35),E62))=0,0,MAX(0,2974250.32-(IF(E63&lt;&gt;"",E63,IF($D$37&lt;&gt;"",$D$37,IF((IF(E62="",IF($D$35="",0,$D$35),E62))=0,0,E52/(IF(E62="",IF($D$35="",0,$D$35),E62)))))))*(IF(E62="",IF($D$35="",0,$D$35),E62))))</f>
        <v/>
      </c>
      <c r="K105" s="75" t="str">
        <f aca="false">IF(I105="","",I105+J105)</f>
        <v/>
      </c>
      <c r="L105" s="75" t="str">
        <f aca="false">IF(F52="","",IF(20&gt;IF(F55="",10,F55),"",F52*(1+IF(F53="",0,F53))^ROUNDDOWN((20-1)/IF(F54="",5,F54),0)))</f>
        <v/>
      </c>
      <c r="M105" s="75" t="str">
        <f aca="false">IF(L105="","",IF((IF(F62="",IF($D$35="",0,$D$35),F62))=0,0,MAX(0,2974250.32-(IF(F63&lt;&gt;"",F63,IF($D$37&lt;&gt;"",$D$37,IF((IF(F62="",IF($D$35="",0,$D$35),F62))=0,0,F52/(IF(F62="",IF($D$35="",0,$D$35),F62)))))))*(IF(F62="",IF($D$35="",0,$D$35),F62))))</f>
        <v/>
      </c>
      <c r="N105" s="75" t="str">
        <f aca="false">IF(L105="","",L105+M105)</f>
        <v/>
      </c>
      <c r="O105" s="75" t="str">
        <f aca="false">IF(G52="","",IF(20&gt;IF(G55="",10,G55),"",G52*(1+IF(G53="",0,G53))^ROUNDDOWN((20-1)/IF(G54="",5,G54),0)))</f>
        <v/>
      </c>
      <c r="P105" s="75" t="str">
        <f aca="false">IF(O105="","",IF((IF(G62="",IF($D$35="",0,$D$35),G62))=0,0,MAX(0,2974250.32-(IF(G63&lt;&gt;"",G63,IF($D$37&lt;&gt;"",$D$37,IF((IF(G62="",IF($D$35="",0,$D$35),G62))=0,0,G52/(IF(G62="",IF($D$35="",0,$D$35),G62)))))))*(IF(G62="",IF($D$35="",0,$D$35),G62))))</f>
        <v/>
      </c>
      <c r="Q105" s="75" t="str">
        <f aca="false">IF(O105="","",O105+P105)</f>
        <v/>
      </c>
      <c r="R105" s="75" t="str">
        <f aca="false">IF(H52="","",IF(20&gt;IF(H55="",10,H55),"",H52*(1+IF(H53="",0,H53))^ROUNDDOWN((20-1)/IF(H54="",5,H54),0)))</f>
        <v/>
      </c>
      <c r="S105" s="75" t="str">
        <f aca="false">IF(R105="","",IF((IF(H62="",IF($D$35="",0,$D$35),H62))=0,0,MAX(0,2974250.32-(IF(H63&lt;&gt;"",H63,IF($D$37&lt;&gt;"",$D$37,IF((IF(H62="",IF($D$35="",0,$D$35),H62))=0,0,H52/(IF(H62="",IF($D$35="",0,$D$35),H62)))))))*(IF(H62="",IF($D$35="",0,$D$35),H62))))</f>
        <v/>
      </c>
      <c r="T105" s="75" t="str">
        <f aca="false">IF(R105="","",R105+S105)</f>
        <v/>
      </c>
    </row>
    <row r="106" customFormat="false" ht="15" hidden="false" customHeight="false" outlineLevel="0" collapsed="false">
      <c r="A106" s="77" t="s">
        <v>394</v>
      </c>
      <c r="C106" s="78" t="n">
        <f aca="false">IF(COUNT(C86:C105)=0,"",SUM(C86:C105))</f>
        <v>1445060</v>
      </c>
      <c r="D106" s="78" t="n">
        <f aca="false">IF(COUNT(D86:D105)=0,"",SUM(D86:D105))</f>
        <v>0</v>
      </c>
      <c r="E106" s="78" t="n">
        <f aca="false">IF(COUNT(E86:E105)=0,"",SUM(E86:E105))</f>
        <v>1445060</v>
      </c>
      <c r="F106" s="78" t="n">
        <f aca="false">IF(COUNT(F86:F105)=0,"",SUM(F86:F105))</f>
        <v>1283345.08296</v>
      </c>
      <c r="G106" s="78" t="n">
        <f aca="false">IF(COUNT(G86:G105)=0,"",SUM(G86:G105))</f>
        <v>0</v>
      </c>
      <c r="H106" s="78" t="n">
        <f aca="false">IF(COUNT(H86:H105)=0,"",SUM(H86:H105))</f>
        <v>1283345.08296</v>
      </c>
      <c r="I106" s="78" t="str">
        <f aca="false">IF(COUNT(I86:I105)=0,"",SUM(I86:I105))</f>
        <v/>
      </c>
      <c r="J106" s="78" t="str">
        <f aca="false">IF(COUNT(J86:J105)=0,"",SUM(J86:J105))</f>
        <v/>
      </c>
      <c r="K106" s="78" t="str">
        <f aca="false">IF(COUNT(K86:K105)=0,"",SUM(K86:K105))</f>
        <v/>
      </c>
      <c r="L106" s="78" t="str">
        <f aca="false">IF(COUNT(L86:L105)=0,"",SUM(L86:L105))</f>
        <v/>
      </c>
      <c r="M106" s="78" t="str">
        <f aca="false">IF(COUNT(M86:M105)=0,"",SUM(M86:M105))</f>
        <v/>
      </c>
      <c r="N106" s="78" t="str">
        <f aca="false">IF(COUNT(N86:N105)=0,"",SUM(N86:N105))</f>
        <v/>
      </c>
      <c r="O106" s="78" t="str">
        <f aca="false">IF(COUNT(O86:O105)=0,"",SUM(O86:O105))</f>
        <v/>
      </c>
      <c r="P106" s="78" t="str">
        <f aca="false">IF(COUNT(P86:P105)=0,"",SUM(P86:P105))</f>
        <v/>
      </c>
      <c r="Q106" s="78" t="str">
        <f aca="false">IF(COUNT(Q86:Q105)=0,"",SUM(Q86:Q105))</f>
        <v/>
      </c>
      <c r="R106" s="78" t="str">
        <f aca="false">IF(COUNT(R86:R105)=0,"",SUM(R86:R105))</f>
        <v/>
      </c>
      <c r="S106" s="78" t="str">
        <f aca="false">IF(COUNT(S86:S105)=0,"",SUM(S86:S105))</f>
        <v/>
      </c>
      <c r="T106" s="78" t="str">
        <f aca="false">IF(COUNT(T86:T105)=0,"",SUM(T86:T105))</f>
        <v/>
      </c>
    </row>
    <row r="107" customFormat="false" ht="15" hidden="false" customHeight="false" outlineLevel="0" collapsed="false">
      <c r="A107" s="69" t="s">
        <v>395</v>
      </c>
      <c r="B107" s="69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</row>
  </sheetData>
  <mergeCells count="83">
    <mergeCell ref="A2:J2"/>
    <mergeCell ref="A3:J3"/>
    <mergeCell ref="A4:J4"/>
    <mergeCell ref="A5:J5"/>
    <mergeCell ref="A6:J6"/>
    <mergeCell ref="A7:J7"/>
    <mergeCell ref="A8:J8"/>
    <mergeCell ref="A10:C10"/>
    <mergeCell ref="D10:J10"/>
    <mergeCell ref="A11:C11"/>
    <mergeCell ref="D11:J11"/>
    <mergeCell ref="A12:C12"/>
    <mergeCell ref="D12:J12"/>
    <mergeCell ref="A13:C13"/>
    <mergeCell ref="D13:J13"/>
    <mergeCell ref="A14:C14"/>
    <mergeCell ref="D14:J14"/>
    <mergeCell ref="G17:J17"/>
    <mergeCell ref="G18:J18"/>
    <mergeCell ref="G19:J19"/>
    <mergeCell ref="G20:J20"/>
    <mergeCell ref="A21:D21"/>
    <mergeCell ref="A22:J22"/>
    <mergeCell ref="A25:C25"/>
    <mergeCell ref="A26:C26"/>
    <mergeCell ref="E26:J26"/>
    <mergeCell ref="A27:C27"/>
    <mergeCell ref="E27:J27"/>
    <mergeCell ref="A28:C28"/>
    <mergeCell ref="A29:C29"/>
    <mergeCell ref="A30:C30"/>
    <mergeCell ref="E30:J30"/>
    <mergeCell ref="A31:J31"/>
    <mergeCell ref="A32:J32"/>
    <mergeCell ref="A35:C35"/>
    <mergeCell ref="E35:J35"/>
    <mergeCell ref="A36:C36"/>
    <mergeCell ref="E36:J36"/>
    <mergeCell ref="A37:C37"/>
    <mergeCell ref="E37:J37"/>
    <mergeCell ref="A38:C38"/>
    <mergeCell ref="E38:J38"/>
    <mergeCell ref="A39:C39"/>
    <mergeCell ref="A40:C40"/>
    <mergeCell ref="A41:C41"/>
    <mergeCell ref="A42:C42"/>
    <mergeCell ref="A47:G47"/>
    <mergeCell ref="A50:C50"/>
    <mergeCell ref="A51:C51"/>
    <mergeCell ref="A52:C52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2:C62"/>
    <mergeCell ref="A63:C63"/>
    <mergeCell ref="A64:C64"/>
    <mergeCell ref="A65:C65"/>
    <mergeCell ref="A66:C66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7:J77"/>
    <mergeCell ref="A79:J79"/>
    <mergeCell ref="A83:T83"/>
    <mergeCell ref="C84:E84"/>
    <mergeCell ref="F84:H84"/>
    <mergeCell ref="I84:K84"/>
    <mergeCell ref="L84:N84"/>
    <mergeCell ref="O84:Q84"/>
    <mergeCell ref="R84:T84"/>
    <mergeCell ref="A107:T107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T10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6"/>
    <col collapsed="false" customWidth="true" hidden="false" outlineLevel="0" max="2" min="2" style="0" width="22"/>
    <col collapsed="false" customWidth="true" hidden="false" outlineLevel="0" max="3" min="3" style="0" width="11"/>
    <col collapsed="false" customWidth="true" hidden="false" outlineLevel="0" max="4" min="4" style="0" width="14"/>
    <col collapsed="false" customWidth="true" hidden="false" outlineLevel="0" max="6" min="5" style="0" width="12"/>
    <col collapsed="false" customWidth="true" hidden="false" outlineLevel="0" max="7" min="7" style="0" width="14"/>
    <col collapsed="false" customWidth="true" hidden="false" outlineLevel="0" max="9" min="8" style="0" width="13"/>
    <col collapsed="false" customWidth="true" hidden="false" outlineLevel="0" max="10" min="10" style="0" width="26"/>
  </cols>
  <sheetData>
    <row r="1" customFormat="false" ht="16.15" hidden="false" customHeight="false" outlineLevel="0" collapsed="false">
      <c r="A1" s="3" t="s">
        <v>617</v>
      </c>
    </row>
    <row r="2" customFormat="false" ht="25.5" hidden="false" customHeight="true" outlineLevel="0" collapsed="false">
      <c r="A2" s="12" t="s">
        <v>251</v>
      </c>
      <c r="B2" s="12"/>
      <c r="C2" s="12"/>
      <c r="D2" s="12"/>
      <c r="E2" s="12"/>
      <c r="F2" s="12"/>
      <c r="G2" s="12"/>
      <c r="H2" s="12"/>
      <c r="I2" s="12"/>
      <c r="J2" s="12"/>
    </row>
    <row r="3" customFormat="false" ht="15" hidden="false" customHeight="true" outlineLevel="0" collapsed="false">
      <c r="A3" s="16" t="s">
        <v>618</v>
      </c>
      <c r="B3" s="16"/>
      <c r="C3" s="16"/>
      <c r="D3" s="16"/>
      <c r="E3" s="16"/>
      <c r="F3" s="16"/>
      <c r="G3" s="16"/>
      <c r="H3" s="16"/>
      <c r="I3" s="16"/>
      <c r="J3" s="16"/>
    </row>
    <row r="4" customFormat="false" ht="30" hidden="false" customHeight="true" outlineLevel="0" collapsed="false">
      <c r="A4" s="17" t="s">
        <v>56</v>
      </c>
      <c r="B4" s="17"/>
      <c r="C4" s="17"/>
      <c r="D4" s="17"/>
      <c r="E4" s="17"/>
      <c r="F4" s="17"/>
      <c r="G4" s="17"/>
      <c r="H4" s="17"/>
      <c r="I4" s="17"/>
      <c r="J4" s="17"/>
    </row>
    <row r="5" customFormat="false" ht="15" hidden="false" customHeight="true" outlineLevel="0" collapsed="false">
      <c r="A5" s="18" t="s">
        <v>17</v>
      </c>
      <c r="B5" s="18"/>
      <c r="C5" s="18"/>
      <c r="D5" s="18"/>
      <c r="E5" s="18"/>
      <c r="F5" s="18"/>
      <c r="G5" s="18"/>
      <c r="H5" s="18"/>
      <c r="I5" s="18"/>
      <c r="J5" s="18"/>
    </row>
    <row r="6" customFormat="false" ht="15" hidden="false" customHeight="true" outlineLevel="0" collapsed="false">
      <c r="A6" s="19" t="s">
        <v>57</v>
      </c>
      <c r="B6" s="19"/>
      <c r="C6" s="19"/>
      <c r="D6" s="19"/>
      <c r="E6" s="19"/>
      <c r="F6" s="19"/>
      <c r="G6" s="19"/>
      <c r="H6" s="19"/>
      <c r="I6" s="19"/>
      <c r="J6" s="19"/>
    </row>
    <row r="7" customFormat="false" ht="23.85" hidden="false" customHeight="true" outlineLevel="0" collapsed="false">
      <c r="A7" s="20" t="s">
        <v>619</v>
      </c>
      <c r="B7" s="20"/>
      <c r="C7" s="20"/>
      <c r="D7" s="20"/>
      <c r="E7" s="20"/>
      <c r="F7" s="20"/>
      <c r="G7" s="20"/>
      <c r="H7" s="20"/>
      <c r="I7" s="20"/>
      <c r="J7" s="20"/>
    </row>
    <row r="8" customFormat="false" ht="15" hidden="false" customHeight="true" outlineLevel="0" collapsed="false">
      <c r="A8" s="21" t="s">
        <v>254</v>
      </c>
      <c r="B8" s="21"/>
      <c r="C8" s="21"/>
      <c r="D8" s="21"/>
      <c r="E8" s="21"/>
      <c r="F8" s="21"/>
      <c r="G8" s="21"/>
      <c r="H8" s="21"/>
      <c r="I8" s="21"/>
      <c r="J8" s="21"/>
    </row>
    <row r="10" customFormat="false" ht="15" hidden="false" customHeight="true" outlineLevel="0" collapsed="false">
      <c r="A10" s="22" t="s">
        <v>255</v>
      </c>
      <c r="B10" s="22"/>
      <c r="C10" s="22"/>
      <c r="D10" s="23" t="s">
        <v>620</v>
      </c>
      <c r="E10" s="23"/>
      <c r="F10" s="23"/>
      <c r="G10" s="23"/>
      <c r="H10" s="23"/>
      <c r="I10" s="23"/>
      <c r="J10" s="23"/>
    </row>
    <row r="11" customFormat="false" ht="15" hidden="false" customHeight="true" outlineLevel="0" collapsed="false">
      <c r="A11" s="22" t="s">
        <v>257</v>
      </c>
      <c r="B11" s="22"/>
      <c r="C11" s="22"/>
      <c r="D11" s="23" t="s">
        <v>621</v>
      </c>
      <c r="E11" s="23"/>
      <c r="F11" s="23"/>
      <c r="G11" s="23"/>
      <c r="H11" s="23"/>
      <c r="I11" s="23"/>
      <c r="J11" s="23"/>
    </row>
    <row r="12" customFormat="false" ht="15" hidden="false" customHeight="true" outlineLevel="0" collapsed="false">
      <c r="A12" s="22" t="s">
        <v>259</v>
      </c>
      <c r="B12" s="22"/>
      <c r="C12" s="22"/>
      <c r="D12" s="86"/>
      <c r="E12" s="86"/>
      <c r="F12" s="86"/>
      <c r="G12" s="86"/>
      <c r="H12" s="86"/>
      <c r="I12" s="86"/>
      <c r="J12" s="86"/>
    </row>
    <row r="13" customFormat="false" ht="15" hidden="false" customHeight="true" outlineLevel="0" collapsed="false">
      <c r="A13" s="22" t="s">
        <v>261</v>
      </c>
      <c r="B13" s="22"/>
      <c r="C13" s="22"/>
      <c r="D13" s="24" t="n">
        <v>2296000</v>
      </c>
      <c r="E13" s="24"/>
      <c r="F13" s="24"/>
      <c r="G13" s="24"/>
      <c r="H13" s="24"/>
      <c r="I13" s="24"/>
      <c r="J13" s="24"/>
    </row>
    <row r="14" customFormat="false" ht="23.85" hidden="false" customHeight="true" outlineLevel="0" collapsed="false">
      <c r="A14" s="22" t="s">
        <v>262</v>
      </c>
      <c r="B14" s="22"/>
      <c r="C14" s="22"/>
      <c r="D14" s="22" t="s">
        <v>622</v>
      </c>
      <c r="E14" s="22"/>
      <c r="F14" s="22"/>
      <c r="G14" s="22"/>
      <c r="H14" s="22"/>
      <c r="I14" s="22"/>
      <c r="J14" s="22"/>
    </row>
    <row r="16" customFormat="false" ht="15" hidden="false" customHeight="false" outlineLevel="0" collapsed="false">
      <c r="A16" s="25" t="s">
        <v>264</v>
      </c>
    </row>
    <row r="17" customFormat="false" ht="22.35" hidden="false" customHeight="true" outlineLevel="0" collapsed="false">
      <c r="A17" s="26" t="s">
        <v>265</v>
      </c>
      <c r="B17" s="26" t="s">
        <v>266</v>
      </c>
      <c r="C17" s="26" t="s">
        <v>267</v>
      </c>
      <c r="D17" s="26" t="s">
        <v>268</v>
      </c>
      <c r="E17" s="26" t="s">
        <v>269</v>
      </c>
      <c r="F17" s="26" t="s">
        <v>270</v>
      </c>
      <c r="G17" s="26" t="s">
        <v>271</v>
      </c>
      <c r="H17" s="26"/>
      <c r="I17" s="26"/>
      <c r="J17" s="26"/>
    </row>
    <row r="18" customFormat="false" ht="19.4" hidden="false" customHeight="true" outlineLevel="0" collapsed="false">
      <c r="A18" s="27" t="s">
        <v>435</v>
      </c>
      <c r="B18" s="28" t="s">
        <v>404</v>
      </c>
      <c r="C18" s="28" t="s">
        <v>623</v>
      </c>
      <c r="D18" s="29" t="n">
        <v>6990.92</v>
      </c>
      <c r="E18" s="30" t="n">
        <f aca="false">IF(D18="","",D18*12)</f>
        <v>83891.04</v>
      </c>
      <c r="F18" s="31" t="n">
        <v>0.4</v>
      </c>
      <c r="G18" s="32" t="s">
        <v>624</v>
      </c>
      <c r="H18" s="32"/>
      <c r="I18" s="32"/>
      <c r="J18" s="32"/>
    </row>
    <row r="19" customFormat="false" ht="23.85" hidden="false" customHeight="true" outlineLevel="0" collapsed="false">
      <c r="A19" s="27" t="s">
        <v>625</v>
      </c>
      <c r="B19" s="28" t="s">
        <v>626</v>
      </c>
      <c r="C19" s="28" t="s">
        <v>627</v>
      </c>
      <c r="D19" s="80" t="n">
        <v>7550.19</v>
      </c>
      <c r="E19" s="30" t="n">
        <f aca="false">IF(D19="","",D19*12)</f>
        <v>90602.28</v>
      </c>
      <c r="F19" s="31" t="n">
        <v>5</v>
      </c>
      <c r="G19" s="32" t="s">
        <v>628</v>
      </c>
      <c r="H19" s="32"/>
      <c r="I19" s="32"/>
      <c r="J19" s="32"/>
    </row>
    <row r="20" customFormat="false" ht="23.85" hidden="false" customHeight="true" outlineLevel="0" collapsed="false">
      <c r="A20" s="27" t="s">
        <v>629</v>
      </c>
      <c r="B20" s="28" t="s">
        <v>630</v>
      </c>
      <c r="C20" s="28" t="s">
        <v>631</v>
      </c>
      <c r="D20" s="80" t="n">
        <v>8154.21</v>
      </c>
      <c r="E20" s="30" t="n">
        <f aca="false">IF(D20="","",D20*12)</f>
        <v>97850.52</v>
      </c>
      <c r="F20" s="31" t="n">
        <v>4.6</v>
      </c>
      <c r="G20" s="32" t="s">
        <v>632</v>
      </c>
      <c r="H20" s="32"/>
      <c r="I20" s="32"/>
      <c r="J20" s="32"/>
    </row>
    <row r="21" customFormat="false" ht="15" hidden="false" customHeight="false" outlineLevel="0" collapsed="false">
      <c r="A21" s="34" t="s">
        <v>284</v>
      </c>
      <c r="B21" s="34"/>
      <c r="C21" s="34"/>
      <c r="D21" s="34"/>
      <c r="E21" s="35" t="n">
        <f aca="false">IF(SUMPRODUCT(E18:E20,F18:F20)=0,"",SUMPRODUCT(E18:E20,F18:F20))</f>
        <v>936680.208</v>
      </c>
      <c r="F21" s="36"/>
      <c r="G21" s="36"/>
      <c r="H21" s="36"/>
      <c r="I21" s="36"/>
      <c r="J21" s="36"/>
    </row>
    <row r="22" customFormat="false" ht="15" hidden="false" customHeight="false" outlineLevel="0" collapsed="false">
      <c r="A22" s="81" t="s">
        <v>633</v>
      </c>
      <c r="B22" s="81"/>
      <c r="C22" s="81"/>
      <c r="D22" s="81"/>
      <c r="E22" s="81"/>
      <c r="F22" s="81"/>
      <c r="G22" s="81"/>
      <c r="H22" s="81"/>
      <c r="I22" s="81"/>
      <c r="J22" s="81"/>
    </row>
    <row r="24" customFormat="false" ht="15" hidden="false" customHeight="false" outlineLevel="0" collapsed="false">
      <c r="A24" s="25" t="s">
        <v>286</v>
      </c>
    </row>
    <row r="25" customFormat="false" ht="15" hidden="false" customHeight="true" outlineLevel="0" collapsed="false">
      <c r="A25" s="22" t="s">
        <v>287</v>
      </c>
      <c r="B25" s="22"/>
      <c r="C25" s="22"/>
      <c r="D25" s="35" t="n">
        <v>83891.04</v>
      </c>
      <c r="E25" s="36"/>
      <c r="F25" s="36"/>
      <c r="G25" s="36"/>
      <c r="H25" s="36"/>
      <c r="I25" s="36"/>
      <c r="J25" s="36"/>
    </row>
    <row r="26" customFormat="false" ht="15" hidden="false" customHeight="true" outlineLevel="0" collapsed="false">
      <c r="A26" s="22" t="s">
        <v>288</v>
      </c>
      <c r="B26" s="22"/>
      <c r="C26" s="22"/>
      <c r="D26" s="38" t="n">
        <v>0.0365379094076655</v>
      </c>
      <c r="E26" s="39" t="s">
        <v>289</v>
      </c>
      <c r="F26" s="39"/>
      <c r="G26" s="39"/>
      <c r="H26" s="39"/>
      <c r="I26" s="39"/>
      <c r="J26" s="39"/>
    </row>
    <row r="27" customFormat="false" ht="23.85" hidden="false" customHeight="true" outlineLevel="0" collapsed="false">
      <c r="A27" s="22" t="s">
        <v>634</v>
      </c>
      <c r="B27" s="22"/>
      <c r="C27" s="22"/>
      <c r="D27" s="35" t="n">
        <v>21687.12</v>
      </c>
      <c r="E27" s="39" t="s">
        <v>291</v>
      </c>
      <c r="F27" s="39"/>
      <c r="G27" s="39"/>
      <c r="H27" s="39"/>
      <c r="I27" s="39"/>
      <c r="J27" s="39"/>
    </row>
    <row r="28" customFormat="false" ht="15" hidden="false" customHeight="true" outlineLevel="0" collapsed="false">
      <c r="A28" s="22" t="s">
        <v>292</v>
      </c>
      <c r="B28" s="22"/>
      <c r="C28" s="22"/>
      <c r="D28" s="35" t="n">
        <v>0</v>
      </c>
      <c r="E28" s="36"/>
      <c r="F28" s="36"/>
      <c r="G28" s="36"/>
      <c r="H28" s="36"/>
      <c r="I28" s="36"/>
      <c r="J28" s="36"/>
    </row>
    <row r="29" customFormat="false" ht="15" hidden="false" customHeight="true" outlineLevel="0" collapsed="false">
      <c r="A29" s="22" t="s">
        <v>293</v>
      </c>
      <c r="B29" s="22"/>
      <c r="C29" s="22"/>
      <c r="D29" s="35" t="n">
        <v>105578.16</v>
      </c>
      <c r="E29" s="36"/>
      <c r="F29" s="36"/>
      <c r="G29" s="36"/>
      <c r="H29" s="36"/>
      <c r="I29" s="36"/>
      <c r="J29" s="36"/>
    </row>
    <row r="30" customFormat="false" ht="15" hidden="false" customHeight="true" outlineLevel="0" collapsed="false">
      <c r="A30" s="22" t="s">
        <v>294</v>
      </c>
      <c r="B30" s="22"/>
      <c r="C30" s="22"/>
      <c r="D30" s="38" t="n">
        <v>0.0459835191637631</v>
      </c>
      <c r="E30" s="39" t="s">
        <v>295</v>
      </c>
      <c r="F30" s="39"/>
      <c r="G30" s="39"/>
      <c r="H30" s="39"/>
      <c r="I30" s="39"/>
      <c r="J30" s="39"/>
    </row>
    <row r="31" customFormat="false" ht="27.75" hidden="false" customHeight="true" outlineLevel="0" collapsed="false">
      <c r="A31" s="40" t="s">
        <v>635</v>
      </c>
      <c r="B31" s="40"/>
      <c r="C31" s="40"/>
      <c r="D31" s="40"/>
      <c r="E31" s="40"/>
      <c r="F31" s="40"/>
      <c r="G31" s="40"/>
      <c r="H31" s="40"/>
      <c r="I31" s="40"/>
      <c r="J31" s="40"/>
    </row>
    <row r="32" customFormat="false" ht="15" hidden="false" customHeight="false" outlineLevel="0" collapsed="false">
      <c r="A32" s="41" t="s">
        <v>636</v>
      </c>
      <c r="B32" s="41"/>
      <c r="C32" s="41"/>
      <c r="D32" s="41"/>
      <c r="E32" s="41"/>
      <c r="F32" s="41"/>
      <c r="G32" s="41"/>
      <c r="H32" s="41"/>
      <c r="I32" s="41"/>
      <c r="J32" s="41"/>
    </row>
    <row r="34" customFormat="false" ht="15" hidden="false" customHeight="false" outlineLevel="0" collapsed="false">
      <c r="A34" s="25" t="s">
        <v>298</v>
      </c>
    </row>
    <row r="35" customFormat="false" ht="15" hidden="false" customHeight="true" outlineLevel="0" collapsed="false">
      <c r="A35" s="22" t="s">
        <v>299</v>
      </c>
      <c r="B35" s="22"/>
      <c r="C35" s="22"/>
      <c r="D35" s="42" t="n">
        <v>0</v>
      </c>
      <c r="E35" s="43" t="s">
        <v>300</v>
      </c>
      <c r="F35" s="43"/>
      <c r="G35" s="43"/>
      <c r="H35" s="43"/>
      <c r="I35" s="43"/>
      <c r="J35" s="43"/>
    </row>
    <row r="36" customFormat="false" ht="15" hidden="false" customHeight="true" outlineLevel="0" collapsed="false">
      <c r="A36" s="22" t="s">
        <v>301</v>
      </c>
      <c r="B36" s="22"/>
      <c r="C36" s="22"/>
      <c r="D36" s="34" t="s">
        <v>302</v>
      </c>
      <c r="E36" s="43" t="s">
        <v>303</v>
      </c>
      <c r="F36" s="43"/>
      <c r="G36" s="43"/>
      <c r="H36" s="43"/>
      <c r="I36" s="43"/>
      <c r="J36" s="43"/>
    </row>
    <row r="37" customFormat="false" ht="15" hidden="false" customHeight="true" outlineLevel="0" collapsed="false">
      <c r="A37" s="22" t="s">
        <v>304</v>
      </c>
      <c r="B37" s="22"/>
      <c r="C37" s="22"/>
      <c r="D37" s="44"/>
      <c r="E37" s="43" t="s">
        <v>305</v>
      </c>
      <c r="F37" s="43"/>
      <c r="G37" s="43"/>
      <c r="H37" s="43"/>
      <c r="I37" s="43"/>
      <c r="J37" s="43"/>
    </row>
    <row r="38" customFormat="false" ht="23.85" hidden="false" customHeight="true" outlineLevel="0" collapsed="false">
      <c r="A38" s="22" t="s">
        <v>306</v>
      </c>
      <c r="B38" s="22"/>
      <c r="C38" s="22"/>
      <c r="D38" s="45" t="str">
        <f aca="false">IF(OR($D$35="",E18=""),"",IF($D$35=0,"— (no % rent)",E18/$D$35))</f>
        <v>— (no % rent)</v>
      </c>
      <c r="E38" s="43" t="s">
        <v>307</v>
      </c>
      <c r="F38" s="43"/>
      <c r="G38" s="43"/>
      <c r="H38" s="43"/>
      <c r="I38" s="43"/>
      <c r="J38" s="43"/>
    </row>
    <row r="39" customFormat="false" ht="23.85" hidden="false" customHeight="true" outlineLevel="0" collapsed="false">
      <c r="A39" s="22" t="s">
        <v>308</v>
      </c>
      <c r="B39" s="22"/>
      <c r="C39" s="22"/>
      <c r="D39" s="45" t="str">
        <f aca="false">IF($D$35="","",IF($D$35=0,"— (no % rent)",IF($D$37&lt;&gt;"",$D$37,IF(E18="","",E18/$D$35))))</f>
        <v>— (no % rent)</v>
      </c>
      <c r="E39" s="36"/>
      <c r="F39" s="36"/>
      <c r="G39" s="36"/>
      <c r="H39" s="36"/>
      <c r="I39" s="36"/>
      <c r="J39" s="36"/>
    </row>
    <row r="40" customFormat="false" ht="15" hidden="false" customHeight="true" outlineLevel="0" collapsed="false">
      <c r="A40" s="22" t="s">
        <v>309</v>
      </c>
      <c r="B40" s="22"/>
      <c r="C40" s="22"/>
      <c r="D40" s="45" t="n">
        <f aca="false">IF(OR($D$35="",D13=""),"",IF($D$35=0,0,IF($D$39="","",MAX(0,D13-$D$39)*$D$35)))</f>
        <v>0</v>
      </c>
      <c r="E40" s="36"/>
      <c r="F40" s="36"/>
      <c r="G40" s="36"/>
      <c r="H40" s="36"/>
      <c r="I40" s="36"/>
      <c r="J40" s="36"/>
    </row>
    <row r="41" customFormat="false" ht="15" hidden="false" customHeight="true" outlineLevel="0" collapsed="false">
      <c r="A41" s="22" t="s">
        <v>310</v>
      </c>
      <c r="B41" s="22"/>
      <c r="C41" s="22"/>
      <c r="D41" s="45" t="n">
        <f aca="false">IF(OR(D40="",E18=""),"",E18+D40)</f>
        <v>83891.04</v>
      </c>
      <c r="E41" s="36"/>
      <c r="F41" s="36"/>
      <c r="G41" s="36"/>
      <c r="H41" s="36"/>
      <c r="I41" s="36"/>
      <c r="J41" s="36"/>
    </row>
    <row r="42" customFormat="false" ht="15" hidden="false" customHeight="true" outlineLevel="0" collapsed="false">
      <c r="A42" s="22" t="s">
        <v>311</v>
      </c>
      <c r="B42" s="22"/>
      <c r="C42" s="22"/>
      <c r="D42" s="46" t="n">
        <f aca="false">IF(OR(D41="",D13=""),"",D41/D13)</f>
        <v>0.0365379094076655</v>
      </c>
      <c r="E42" s="36"/>
      <c r="F42" s="36"/>
      <c r="G42" s="36"/>
      <c r="H42" s="36"/>
      <c r="I42" s="36"/>
      <c r="J42" s="36"/>
    </row>
    <row r="44" customFormat="false" ht="15" hidden="false" customHeight="false" outlineLevel="0" collapsed="false">
      <c r="A44" s="25" t="s">
        <v>312</v>
      </c>
    </row>
    <row r="45" customFormat="false" ht="22.35" hidden="false" customHeight="false" outlineLevel="0" collapsed="false">
      <c r="A45" s="26" t="s">
        <v>313</v>
      </c>
      <c r="B45" s="26" t="s">
        <v>314</v>
      </c>
      <c r="C45" s="26" t="s">
        <v>315</v>
      </c>
      <c r="D45" s="26" t="s">
        <v>316</v>
      </c>
      <c r="E45" s="26" t="s">
        <v>317</v>
      </c>
      <c r="F45" s="26" t="s">
        <v>318</v>
      </c>
      <c r="G45" s="26" t="s">
        <v>319</v>
      </c>
      <c r="H45" s="26" t="s">
        <v>269</v>
      </c>
      <c r="I45" s="26" t="s">
        <v>320</v>
      </c>
      <c r="J45" s="26" t="s">
        <v>321</v>
      </c>
    </row>
    <row r="46" customFormat="false" ht="22.35" hidden="false" customHeight="false" outlineLevel="0" collapsed="false">
      <c r="A46" s="47" t="s">
        <v>455</v>
      </c>
      <c r="B46" s="47" t="s">
        <v>456</v>
      </c>
      <c r="C46" s="47" t="s">
        <v>457</v>
      </c>
      <c r="D46" s="47" t="s">
        <v>458</v>
      </c>
      <c r="E46" s="48"/>
      <c r="F46" s="47" t="s">
        <v>459</v>
      </c>
      <c r="G46" s="47" t="s">
        <v>327</v>
      </c>
      <c r="H46" s="49" t="n">
        <v>192000</v>
      </c>
      <c r="I46" s="50" t="s">
        <v>328</v>
      </c>
      <c r="J46" s="47" t="s">
        <v>637</v>
      </c>
    </row>
    <row r="47" customFormat="false" ht="22.35" hidden="false" customHeight="false" outlineLevel="0" collapsed="false">
      <c r="A47" s="47" t="s">
        <v>525</v>
      </c>
      <c r="B47" s="47" t="s">
        <v>526</v>
      </c>
      <c r="C47" s="47" t="s">
        <v>527</v>
      </c>
      <c r="D47" s="47" t="s">
        <v>638</v>
      </c>
      <c r="E47" s="48"/>
      <c r="F47" s="47" t="s">
        <v>528</v>
      </c>
      <c r="G47" s="47" t="s">
        <v>327</v>
      </c>
      <c r="H47" s="49" t="n">
        <v>200000</v>
      </c>
      <c r="I47" s="50" t="s">
        <v>328</v>
      </c>
      <c r="J47" s="47" t="s">
        <v>639</v>
      </c>
    </row>
    <row r="48" customFormat="false" ht="22.35" hidden="false" customHeight="false" outlineLevel="0" collapsed="false">
      <c r="A48" s="47" t="s">
        <v>640</v>
      </c>
      <c r="B48" s="47" t="s">
        <v>641</v>
      </c>
      <c r="C48" s="47" t="s">
        <v>338</v>
      </c>
      <c r="D48" s="47" t="s">
        <v>642</v>
      </c>
      <c r="E48" s="48"/>
      <c r="F48" s="47" t="s">
        <v>643</v>
      </c>
      <c r="G48" s="47" t="s">
        <v>644</v>
      </c>
      <c r="H48" s="49" t="n">
        <v>195000</v>
      </c>
      <c r="I48" s="51" t="s">
        <v>342</v>
      </c>
      <c r="J48" s="47" t="s">
        <v>645</v>
      </c>
    </row>
    <row r="49" customFormat="false" ht="15" hidden="false" customHeight="false" outlineLevel="0" collapsed="false">
      <c r="A49" s="52" t="s">
        <v>344</v>
      </c>
      <c r="B49" s="52"/>
      <c r="C49" s="52"/>
      <c r="D49" s="52"/>
      <c r="E49" s="52"/>
      <c r="F49" s="52"/>
      <c r="G49" s="52"/>
      <c r="H49" s="53" t="n">
        <f aca="false">IF(COUNT(H46:H48)=0,"",AVERAGE(H46:H48))</f>
        <v>195666.666666667</v>
      </c>
      <c r="I49" s="52" t="str">
        <f aca="false">IF(COUNT(H46:H48)=0,"",TEXT(MIN(H46:H48),"$#,##0")&amp;" – "&amp;TEXT(MAX(H46:H48),"$#,##0"))</f>
        <v>$192,000 – $200,000</v>
      </c>
      <c r="J49" s="36"/>
    </row>
    <row r="51" customFormat="false" ht="15" hidden="false" customHeight="false" outlineLevel="0" collapsed="false">
      <c r="A51" s="25" t="s">
        <v>345</v>
      </c>
    </row>
    <row r="52" customFormat="false" ht="53.7" hidden="false" customHeight="true" outlineLevel="0" collapsed="false">
      <c r="A52" s="26" t="s">
        <v>346</v>
      </c>
      <c r="B52" s="26"/>
      <c r="C52" s="26"/>
      <c r="D52" s="26" t="s">
        <v>347</v>
      </c>
      <c r="E52" s="26" t="s">
        <v>348</v>
      </c>
      <c r="F52" s="26" t="s">
        <v>349</v>
      </c>
      <c r="G52" s="26" t="s">
        <v>350</v>
      </c>
      <c r="H52" s="54" t="s">
        <v>351</v>
      </c>
    </row>
    <row r="53" customFormat="false" ht="68.65" hidden="false" customHeight="true" outlineLevel="0" collapsed="false">
      <c r="A53" s="22" t="s">
        <v>352</v>
      </c>
      <c r="B53" s="22"/>
      <c r="C53" s="22"/>
      <c r="D53" s="55" t="s">
        <v>353</v>
      </c>
      <c r="E53" s="56"/>
      <c r="F53" s="56"/>
      <c r="G53" s="56"/>
      <c r="H53" s="56"/>
    </row>
    <row r="54" customFormat="false" ht="15" hidden="false" customHeight="true" outlineLevel="0" collapsed="false">
      <c r="A54" s="22" t="s">
        <v>354</v>
      </c>
      <c r="B54" s="22"/>
      <c r="C54" s="22"/>
      <c r="D54" s="57" t="n">
        <v>83891</v>
      </c>
      <c r="E54" s="57"/>
      <c r="F54" s="57"/>
      <c r="G54" s="57"/>
      <c r="H54" s="57"/>
    </row>
    <row r="55" customFormat="false" ht="15" hidden="false" customHeight="true" outlineLevel="0" collapsed="false">
      <c r="A55" s="22" t="s">
        <v>355</v>
      </c>
      <c r="B55" s="22"/>
      <c r="C55" s="22"/>
      <c r="D55" s="82" t="n">
        <v>0.02</v>
      </c>
      <c r="E55" s="58"/>
      <c r="F55" s="58"/>
      <c r="G55" s="58"/>
      <c r="H55" s="58"/>
    </row>
    <row r="56" customFormat="false" ht="15" hidden="false" customHeight="true" outlineLevel="0" collapsed="false">
      <c r="A56" s="22" t="s">
        <v>356</v>
      </c>
      <c r="B56" s="22"/>
      <c r="C56" s="22"/>
      <c r="D56" s="56" t="n">
        <v>5</v>
      </c>
      <c r="E56" s="56"/>
      <c r="F56" s="56"/>
      <c r="G56" s="56"/>
      <c r="H56" s="56"/>
    </row>
    <row r="57" customFormat="false" ht="15" hidden="false" customHeight="true" outlineLevel="0" collapsed="false">
      <c r="A57" s="22" t="s">
        <v>357</v>
      </c>
      <c r="B57" s="22"/>
      <c r="C57" s="22"/>
      <c r="D57" s="59" t="n">
        <v>20</v>
      </c>
      <c r="E57" s="59"/>
      <c r="F57" s="59"/>
      <c r="G57" s="59"/>
      <c r="H57" s="59"/>
    </row>
    <row r="58" customFormat="false" ht="15" hidden="false" customHeight="true" outlineLevel="0" collapsed="false">
      <c r="A58" s="22" t="s">
        <v>358</v>
      </c>
      <c r="B58" s="22"/>
      <c r="C58" s="22"/>
      <c r="D58" s="60" t="n">
        <f aca="false">IF(OR(D54="",E18=""),"",D54-E18)</f>
        <v>-0.0400000000081491</v>
      </c>
      <c r="E58" s="60" t="str">
        <f aca="false">IF(OR(E54="",E18=""),"",E54-E18)</f>
        <v/>
      </c>
      <c r="F58" s="60" t="str">
        <f aca="false">IF(OR(F54="",E18=""),"",F54-E18)</f>
        <v/>
      </c>
      <c r="G58" s="60" t="str">
        <f aca="false">IF(OR(G54="",E18=""),"",G54-E18)</f>
        <v/>
      </c>
      <c r="H58" s="60" t="str">
        <f aca="false">IF(OR(H54="",E18=""),"",H54-E18)</f>
        <v/>
      </c>
    </row>
    <row r="59" customFormat="false" ht="15" hidden="false" customHeight="true" outlineLevel="0" collapsed="false">
      <c r="A59" s="22" t="s">
        <v>359</v>
      </c>
      <c r="B59" s="22"/>
      <c r="C59" s="22"/>
      <c r="D59" s="61" t="n">
        <f aca="false">IF(OR(D54="",E18=""),"",(D54-E18)/E18)</f>
        <v>-4.76808965631479E-007</v>
      </c>
      <c r="E59" s="61" t="str">
        <f aca="false">IF(OR(E54="",E18=""),"",(E54-E18)/E18)</f>
        <v/>
      </c>
      <c r="F59" s="61" t="str">
        <f aca="false">IF(OR(F54="",E18=""),"",(F54-E18)/E18)</f>
        <v/>
      </c>
      <c r="G59" s="61" t="str">
        <f aca="false">IF(OR(G54="",E18=""),"",(G54-E18)/E18)</f>
        <v/>
      </c>
      <c r="H59" s="61" t="str">
        <f aca="false">IF(OR(H54="",E18=""),"",(H54-E18)/E18)</f>
        <v/>
      </c>
    </row>
    <row r="60" customFormat="false" ht="15" hidden="false" customHeight="true" outlineLevel="0" collapsed="false">
      <c r="A60" s="22" t="s">
        <v>360</v>
      </c>
      <c r="B60" s="22"/>
      <c r="C60" s="22"/>
      <c r="D60" s="62" t="n">
        <f aca="false">IF(OR(D54="",D13=""),"",D54/D13)</f>
        <v>0.0365378919860627</v>
      </c>
      <c r="E60" s="62" t="str">
        <f aca="false">IF(OR(E54="",D13=""),"",E54/D13)</f>
        <v/>
      </c>
      <c r="F60" s="62" t="str">
        <f aca="false">IF(OR(F54="",D13=""),"",F54/D13)</f>
        <v/>
      </c>
      <c r="G60" s="62" t="str">
        <f aca="false">IF(OR(G54="",D13=""),"",G54/D13)</f>
        <v/>
      </c>
      <c r="H60" s="62" t="str">
        <f aca="false">IF(OR(H54="",D13=""),"",H54/D13)</f>
        <v/>
      </c>
    </row>
    <row r="61" customFormat="false" ht="15" hidden="false" customHeight="true" outlineLevel="0" collapsed="false">
      <c r="A61" s="22" t="s">
        <v>361</v>
      </c>
      <c r="B61" s="22"/>
      <c r="C61" s="22"/>
      <c r="D61" s="61" t="n">
        <f aca="false">IF(OR(D54="",H49=""),"",(D54-H49)/H49)</f>
        <v>-0.571255536626917</v>
      </c>
      <c r="E61" s="61" t="str">
        <f aca="false">IF(OR(E54="",H49=""),"",(E54-H49)/H49)</f>
        <v/>
      </c>
      <c r="F61" s="61" t="str">
        <f aca="false">IF(OR(F54="",H49=""),"",(F54-H49)/H49)</f>
        <v/>
      </c>
      <c r="G61" s="61" t="str">
        <f aca="false">IF(OR(G54="",H49=""),"",(G54-H49)/H49)</f>
        <v/>
      </c>
      <c r="H61" s="61" t="str">
        <f aca="false">IF(OR(H54="",H49=""),"",(H54-H49)/H49)</f>
        <v/>
      </c>
    </row>
    <row r="62" customFormat="false" ht="15" hidden="false" customHeight="true" outlineLevel="0" collapsed="false">
      <c r="A62" s="22" t="s">
        <v>362</v>
      </c>
      <c r="B62" s="22"/>
      <c r="C62" s="22"/>
      <c r="D62" s="63" t="n">
        <f aca="true">IF(D54="","",SUMPRODUCT(D54*(1+IF(D55="",0,D55))^ROUNDDOWN((ROW(INDIRECT("1:10"))-1)/IF(D56="",5,D56),0)))</f>
        <v>847299.1</v>
      </c>
      <c r="E62" s="63" t="str">
        <f aca="true">IF(E54="","",SUMPRODUCT(E54*(1+IF(E55="",0,E55))^ROUNDDOWN((ROW(INDIRECT("1:10"))-1)/IF(E56="",5,E56),0)))</f>
        <v/>
      </c>
      <c r="F62" s="63" t="str">
        <f aca="true">IF(F54="","",SUMPRODUCT(F54*(1+IF(F55="",0,F55))^ROUNDDOWN((ROW(INDIRECT("1:10"))-1)/IF(F56="",5,F56),0)))</f>
        <v/>
      </c>
      <c r="G62" s="63" t="str">
        <f aca="true">IF(G54="","",SUMPRODUCT(G54*(1+IF(G55="",0,G55))^ROUNDDOWN((ROW(INDIRECT("1:10"))-1)/IF(G56="",5,G56),0)))</f>
        <v/>
      </c>
      <c r="H62" s="63" t="str">
        <f aca="true">IF(H54="","",SUMPRODUCT(H54*(1+IF(H55="",0,H55))^ROUNDDOWN((ROW(INDIRECT("1:10"))-1)/IF(H56="",5,H56),0)))</f>
        <v/>
      </c>
    </row>
    <row r="63" customFormat="false" ht="15" hidden="false" customHeight="true" outlineLevel="0" collapsed="false">
      <c r="A63" s="22" t="s">
        <v>363</v>
      </c>
      <c r="B63" s="22"/>
      <c r="C63" s="22"/>
      <c r="D63" s="60" t="n">
        <f aca="false">IF(OR(D62="",E21=""),"",D62-E21)</f>
        <v>-89381.1079999999</v>
      </c>
      <c r="E63" s="60" t="str">
        <f aca="false">IF(OR(E62="",E21=""),"",E62-E21)</f>
        <v/>
      </c>
      <c r="F63" s="60" t="str">
        <f aca="false">IF(OR(F62="",E21=""),"",F62-E21)</f>
        <v/>
      </c>
      <c r="G63" s="60" t="str">
        <f aca="false">IF(OR(G62="",E21=""),"",G62-E21)</f>
        <v/>
      </c>
      <c r="H63" s="60" t="str">
        <f aca="false">IF(OR(H62="",E21=""),"",H62-E21)</f>
        <v/>
      </c>
    </row>
    <row r="64" customFormat="false" ht="23.85" hidden="false" customHeight="true" outlineLevel="0" collapsed="false">
      <c r="A64" s="22" t="s">
        <v>364</v>
      </c>
      <c r="B64" s="22"/>
      <c r="C64" s="22"/>
      <c r="D64" s="58"/>
      <c r="E64" s="58"/>
      <c r="F64" s="58"/>
      <c r="G64" s="58"/>
      <c r="H64" s="58"/>
    </row>
    <row r="65" customFormat="false" ht="23.85" hidden="false" customHeight="true" outlineLevel="0" collapsed="false">
      <c r="A65" s="22" t="s">
        <v>365</v>
      </c>
      <c r="B65" s="22"/>
      <c r="C65" s="22"/>
      <c r="D65" s="57"/>
      <c r="E65" s="57"/>
      <c r="F65" s="57"/>
      <c r="G65" s="57"/>
      <c r="H65" s="57"/>
    </row>
    <row r="66" customFormat="false" ht="15" hidden="false" customHeight="true" outlineLevel="0" collapsed="false">
      <c r="A66" s="22" t="s">
        <v>366</v>
      </c>
      <c r="B66" s="22"/>
      <c r="C66" s="22"/>
      <c r="D66" s="63" t="str">
        <f aca="false">IF(OR(D54="",AND(D64="",$D$35="")),"",IF(IF(D64="",IF($D$35="",0,$D$35),D64)=0,"— (% rent removed)",IF(D65&lt;&gt;"",D65,IF($D$37&lt;&gt;"",$D$37,D54/IF(D64="",IF($D$35="",0,$D$35),D64)))))</f>
        <v>— (% rent removed)</v>
      </c>
      <c r="E66" s="63" t="str">
        <f aca="false">IF(OR(E54="",AND(E64="",$D$35="")),"",IF(IF(E64="",IF($D$35="",0,$D$35),E64)=0,"— (% rent removed)",IF(E65&lt;&gt;"",E65,IF($D$37&lt;&gt;"",$D$37,E54/IF(E64="",IF($D$35="",0,$D$35),E64)))))</f>
        <v/>
      </c>
      <c r="F66" s="63" t="str">
        <f aca="false">IF(OR(F54="",AND(F64="",$D$35="")),"",IF(IF(F64="",IF($D$35="",0,$D$35),F64)=0,"— (% rent removed)",IF(F65&lt;&gt;"",F65,IF($D$37&lt;&gt;"",$D$37,F54/IF(F64="",IF($D$35="",0,$D$35),F64)))))</f>
        <v/>
      </c>
      <c r="G66" s="63" t="str">
        <f aca="false">IF(OR(G54="",AND(G64="",$D$35="")),"",IF(IF(G64="",IF($D$35="",0,$D$35),G64)=0,"— (% rent removed)",IF(G65&lt;&gt;"",G65,IF($D$37&lt;&gt;"",$D$37,G54/IF(G64="",IF($D$35="",0,$D$35),G64)))))</f>
        <v/>
      </c>
      <c r="H66" s="63" t="str">
        <f aca="false">IF(OR(H54="",AND(H64="",$D$35="")),"",IF(IF(H64="",IF($D$35="",0,$D$35),H64)=0,"— (% rent removed)",IF(H65&lt;&gt;"",H65,IF($D$37&lt;&gt;"",$D$37,H54/IF(H64="",IF($D$35="",0,$D$35),H64)))))</f>
        <v/>
      </c>
    </row>
    <row r="67" customFormat="false" ht="15" hidden="false" customHeight="true" outlineLevel="0" collapsed="false">
      <c r="A67" s="22" t="s">
        <v>367</v>
      </c>
      <c r="B67" s="22"/>
      <c r="C67" s="22"/>
      <c r="D67" s="63" t="n">
        <f aca="false">IF(OR(D54="",AND(D64="",$D$35=""),D13=""),"",IF(IF(D64="",IF($D$35="",0,$D$35),D64)=0,0,MAX(0,D13-D66)*IF(D64="",IF($D$35="",0,$D$35),D64)))</f>
        <v>0</v>
      </c>
      <c r="E67" s="63" t="str">
        <f aca="false">IF(OR(E54="",AND(E64="",$D$35=""),D13=""),"",IF(IF(E64="",IF($D$35="",0,$D$35),E64)=0,0,MAX(0,D13-E66)*IF(E64="",IF($D$35="",0,$D$35),E64)))</f>
        <v/>
      </c>
      <c r="F67" s="63" t="str">
        <f aca="false">IF(OR(F54="",AND(F64="",$D$35=""),D13=""),"",IF(IF(F64="",IF($D$35="",0,$D$35),F64)=0,0,MAX(0,D13-F66)*IF(F64="",IF($D$35="",0,$D$35),F64)))</f>
        <v/>
      </c>
      <c r="G67" s="63" t="str">
        <f aca="false">IF(OR(G54="",AND(G64="",$D$35=""),D13=""),"",IF(IF(G64="",IF($D$35="",0,$D$35),G64)=0,0,MAX(0,D13-G66)*IF(G64="",IF($D$35="",0,$D$35),G64)))</f>
        <v/>
      </c>
      <c r="H67" s="63" t="str">
        <f aca="false">IF(OR(H54="",AND(H64="",$D$35=""),D13=""),"",IF(IF(H64="",IF($D$35="",0,$D$35),H64)=0,0,MAX(0,D13-H66)*IF(H64="",IF($D$35="",0,$D$35),H64)))</f>
        <v/>
      </c>
    </row>
    <row r="68" customFormat="false" ht="15" hidden="false" customHeight="true" outlineLevel="0" collapsed="false">
      <c r="A68" s="22" t="s">
        <v>368</v>
      </c>
      <c r="B68" s="22"/>
      <c r="C68" s="22"/>
      <c r="D68" s="63" t="n">
        <f aca="false">IF(OR(D54="",D67=""),"",D54+D67)</f>
        <v>83891</v>
      </c>
      <c r="E68" s="63" t="str">
        <f aca="false">IF(OR(E54="",E67=""),"",E54+E67)</f>
        <v/>
      </c>
      <c r="F68" s="63" t="str">
        <f aca="false">IF(OR(F54="",F67=""),"",F54+F67)</f>
        <v/>
      </c>
      <c r="G68" s="63" t="str">
        <f aca="false">IF(OR(G54="",G67=""),"",G54+G67)</f>
        <v/>
      </c>
      <c r="H68" s="63" t="str">
        <f aca="false">IF(OR(H54="",H67=""),"",H54+H67)</f>
        <v/>
      </c>
    </row>
    <row r="69" customFormat="false" ht="15" hidden="false" customHeight="true" outlineLevel="0" collapsed="false">
      <c r="A69" s="22" t="s">
        <v>369</v>
      </c>
      <c r="B69" s="22"/>
      <c r="C69" s="22"/>
      <c r="D69" s="62" t="n">
        <f aca="false">IF(OR(D68="",D13=""),"",D68/D13)</f>
        <v>0.0365378919860627</v>
      </c>
      <c r="E69" s="62" t="str">
        <f aca="false">IF(OR(E68="",D13=""),"",E68/D13)</f>
        <v/>
      </c>
      <c r="F69" s="62" t="str">
        <f aca="false">IF(OR(F68="",D13=""),"",F68/D13)</f>
        <v/>
      </c>
      <c r="G69" s="62" t="str">
        <f aca="false">IF(OR(G68="",D13=""),"",G68/D13)</f>
        <v/>
      </c>
      <c r="H69" s="62" t="str">
        <f aca="false">IF(OR(H68="",D13=""),"",H68/D13)</f>
        <v/>
      </c>
    </row>
    <row r="70" customFormat="false" ht="23.85" hidden="false" customHeight="true" outlineLevel="0" collapsed="false">
      <c r="A70" s="22" t="s">
        <v>370</v>
      </c>
      <c r="B70" s="22"/>
      <c r="C70" s="22"/>
      <c r="D70" s="64" t="n">
        <f aca="false">IF(D68="","",(602079.17-D68)/2303286.37)</f>
        <v>0.224977743431877</v>
      </c>
      <c r="E70" s="64" t="str">
        <f aca="false">IF(E68="","",(602079.17-E68)/2303286.37)</f>
        <v/>
      </c>
      <c r="F70" s="64" t="str">
        <f aca="false">IF(F68="","",(602079.17-F68)/2303286.37)</f>
        <v/>
      </c>
      <c r="G70" s="64" t="str">
        <f aca="false">IF(G68="","",(602079.17-G68)/2303286.37)</f>
        <v/>
      </c>
      <c r="H70" s="64" t="str">
        <f aca="false">IF(H68="","",(602079.17-H68)/2303286.37)</f>
        <v/>
      </c>
    </row>
    <row r="71" customFormat="false" ht="15" hidden="false" customHeight="true" outlineLevel="0" collapsed="false">
      <c r="A71" s="22" t="s">
        <v>371</v>
      </c>
      <c r="B71" s="22"/>
      <c r="C71" s="22"/>
      <c r="D71" s="63" t="n">
        <f aca="true">IF(OR(D54="",AND(D64="",$D$35=""),D13=""),"",IF(IF(D64="",IF($D$35="",0,$D$35),D64)=0,0,SUMPRODUCT(((D13*1.02^(ROW(INDIRECT("1:10"))-1))-(IF(D65&lt;&gt;"",D65,IF($D$37&lt;&gt;"",$D$37,(D54*(1+IF(D55="",0,D55))^ROUNDDOWN((ROW(INDIRECT("1:10"))-1)/IF(D56="",5,D56),0))/IF(D64="",IF($D$35="",0,$D$35),D64))))&gt;0)*((D13*1.02^(ROW(INDIRECT("1:10"))-1))-(IF(D65&lt;&gt;"",D65,IF($D$37&lt;&gt;"",$D$37,(D54*(1+IF(D55="",0,D55))^ROUNDDOWN((ROW(INDIRECT("1:10"))-1)/IF(D56="",5,D56),0))/IF(D64="",IF($D$35="",0,$D$35),D64))))))*IF(D64="",IF($D$35="",0,$D$35),D64)))</f>
        <v>0</v>
      </c>
      <c r="E71" s="63" t="str">
        <f aca="true">IF(OR(E54="",AND(E64="",$D$35=""),D13=""),"",IF(IF(E64="",IF($D$35="",0,$D$35),E64)=0,0,SUMPRODUCT(((D13*1.02^(ROW(INDIRECT("1:10"))-1))-(IF(E65&lt;&gt;"",E65,IF($D$37&lt;&gt;"",$D$37,(E54*(1+IF(E55="",0,E55))^ROUNDDOWN((ROW(INDIRECT("1:10"))-1)/IF(E56="",5,E56),0))/IF(E64="",IF($D$35="",0,$D$35),E64))))&gt;0)*((D13*1.02^(ROW(INDIRECT("1:10"))-1))-(IF(E65&lt;&gt;"",E65,IF($D$37&lt;&gt;"",$D$37,(E54*(1+IF(E55="",0,E55))^ROUNDDOWN((ROW(INDIRECT("1:10"))-1)/IF(E56="",5,E56),0))/IF(E64="",IF($D$35="",0,$D$35),E64))))))*IF(E64="",IF($D$35="",0,$D$35),E64)))</f>
        <v/>
      </c>
      <c r="F71" s="63" t="str">
        <f aca="true">IF(OR(F54="",AND(F64="",$D$35=""),D13=""),"",IF(IF(F64="",IF($D$35="",0,$D$35),F64)=0,0,SUMPRODUCT(((D13*1.02^(ROW(INDIRECT("1:10"))-1))-(IF(F65&lt;&gt;"",F65,IF($D$37&lt;&gt;"",$D$37,(F54*(1+IF(F55="",0,F55))^ROUNDDOWN((ROW(INDIRECT("1:10"))-1)/IF(F56="",5,F56),0))/IF(F64="",IF($D$35="",0,$D$35),F64))))&gt;0)*((D13*1.02^(ROW(INDIRECT("1:10"))-1))-(IF(F65&lt;&gt;"",F65,IF($D$37&lt;&gt;"",$D$37,(F54*(1+IF(F55="",0,F55))^ROUNDDOWN((ROW(INDIRECT("1:10"))-1)/IF(F56="",5,F56),0))/IF(F64="",IF($D$35="",0,$D$35),F64))))))*IF(F64="",IF($D$35="",0,$D$35),F64)))</f>
        <v/>
      </c>
      <c r="G71" s="63" t="str">
        <f aca="true">IF(OR(G54="",AND(G64="",$D$35=""),D13=""),"",IF(IF(G64="",IF($D$35="",0,$D$35),G64)=0,0,SUMPRODUCT(((D13*1.02^(ROW(INDIRECT("1:10"))-1))-(IF(G65&lt;&gt;"",G65,IF($D$37&lt;&gt;"",$D$37,(G54*(1+IF(G55="",0,G55))^ROUNDDOWN((ROW(INDIRECT("1:10"))-1)/IF(G56="",5,G56),0))/IF(G64="",IF($D$35="",0,$D$35),G64))))&gt;0)*((D13*1.02^(ROW(INDIRECT("1:10"))-1))-(IF(G65&lt;&gt;"",G65,IF($D$37&lt;&gt;"",$D$37,(G54*(1+IF(G55="",0,G55))^ROUNDDOWN((ROW(INDIRECT("1:10"))-1)/IF(G56="",5,G56),0))/IF(G64="",IF($D$35="",0,$D$35),G64))))))*IF(G64="",IF($D$35="",0,$D$35),G64)))</f>
        <v/>
      </c>
      <c r="H71" s="63" t="str">
        <f aca="true">IF(OR(H54="",AND(H64="",$D$35=""),D13=""),"",IF(IF(H64="",IF($D$35="",0,$D$35),H64)=0,0,SUMPRODUCT(((D13*1.02^(ROW(INDIRECT("1:10"))-1))-(IF(H65&lt;&gt;"",H65,IF($D$37&lt;&gt;"",$D$37,(H54*(1+IF(H55="",0,H55))^ROUNDDOWN((ROW(INDIRECT("1:10"))-1)/IF(H56="",5,H56),0))/IF(H64="",IF($D$35="",0,$D$35),H64))))&gt;0)*((D13*1.02^(ROW(INDIRECT("1:10"))-1))-(IF(H65&lt;&gt;"",H65,IF($D$37&lt;&gt;"",$D$37,(H54*(1+IF(H55="",0,H55))^ROUNDDOWN((ROW(INDIRECT("1:10"))-1)/IF(H56="",5,H56),0))/IF(H64="",IF($D$35="",0,$D$35),H64))))))*IF(H64="",IF($D$35="",0,$D$35),H64)))</f>
        <v/>
      </c>
    </row>
    <row r="72" customFormat="false" ht="15" hidden="false" customHeight="true" outlineLevel="0" collapsed="false">
      <c r="A72" s="22" t="s">
        <v>372</v>
      </c>
      <c r="B72" s="22"/>
      <c r="C72" s="22"/>
      <c r="D72" s="63" t="n">
        <f aca="false">IF(OR(D62="",D71=""),"",D62+D71)</f>
        <v>847299.1</v>
      </c>
      <c r="E72" s="63" t="str">
        <f aca="false">IF(OR(E62="",E71=""),"",E62+E71)</f>
        <v/>
      </c>
      <c r="F72" s="63" t="str">
        <f aca="false">IF(OR(F62="",F71=""),"",F62+F71)</f>
        <v/>
      </c>
      <c r="G72" s="63" t="str">
        <f aca="false">IF(OR(G62="",G71=""),"",G62+G71)</f>
        <v/>
      </c>
      <c r="H72" s="63" t="str">
        <f aca="false">IF(OR(H62="",H71=""),"",H62+H71)</f>
        <v/>
      </c>
    </row>
    <row r="73" customFormat="false" ht="23.85" hidden="false" customHeight="true" outlineLevel="0" collapsed="false">
      <c r="A73" s="22" t="s">
        <v>373</v>
      </c>
      <c r="B73" s="22"/>
      <c r="C73" s="22"/>
      <c r="D73" s="65" t="n">
        <f aca="true">IF(D54="","",SUMPRODUCT(D54*(1+IF(D55="",0,D55))^ROUNDDOWN((ROW(INDIRECT("1:"&amp;IF(D57="",10,D57)))-1)/IF(D56="",5,D56),0))+IF(OR(D13="",IF(D64="",IF($D$35="",0,$D$35),D64)=0),0,SUMPRODUCT(((D13*1.02^(ROW(INDIRECT("1:"&amp;IF(D57="",10,D57)))-1))-(IF(D65&lt;&gt;"",D65,IF($D$37&lt;&gt;"",$D$37,(D54*(1+IF(D55="",0,D55))^ROUNDDOWN((ROW(INDIRECT("1:"&amp;IF(D57="",10,D57)))-1)/IF(D56="",5,D56),0))/IF(D64="",IF($D$35="",0,$D$35),D64))))&gt;0)*((D13*1.02^(ROW(INDIRECT("1:"&amp;IF(D57="",10,D57)))-1))-(IF(D65&lt;&gt;"",D65,IF($D$37&lt;&gt;"",$D$37,(D54*(1+IF(D55="",0,D55))^ROUNDDOWN((ROW(INDIRECT("1:"&amp;IF(D57="",10,D57)))-1)/IF(D56="",5,D56),0))/IF(D64="",IF($D$35="",0,$D$35),D64))))))*IF(D64="",IF($D$35="",0,$D$35),D64)))</f>
        <v>1728829.08364</v>
      </c>
      <c r="E73" s="65" t="str">
        <f aca="true">IF(E54="","",SUMPRODUCT(E54*(1+IF(E55="",0,E55))^ROUNDDOWN((ROW(INDIRECT("1:"&amp;IF(E57="",10,E57)))-1)/IF(E56="",5,E56),0))+IF(OR(D13="",IF(E64="",IF($D$35="",0,$D$35),E64)=0),0,SUMPRODUCT(((D13*1.02^(ROW(INDIRECT("1:"&amp;IF(E57="",10,E57)))-1))-(IF(E65&lt;&gt;"",E65,IF($D$37&lt;&gt;"",$D$37,(E54*(1+IF(E55="",0,E55))^ROUNDDOWN((ROW(INDIRECT("1:"&amp;IF(E57="",10,E57)))-1)/IF(E56="",5,E56),0))/IF(E64="",IF($D$35="",0,$D$35),E64))))&gt;0)*((D13*1.02^(ROW(INDIRECT("1:"&amp;IF(E57="",10,E57)))-1))-(IF(E65&lt;&gt;"",E65,IF($D$37&lt;&gt;"",$D$37,(E54*(1+IF(E55="",0,E55))^ROUNDDOWN((ROW(INDIRECT("1:"&amp;IF(E57="",10,E57)))-1)/IF(E56="",5,E56),0))/IF(E64="",IF($D$35="",0,$D$35),E64))))))*IF(E64="",IF($D$35="",0,$D$35),E64)))</f>
        <v/>
      </c>
      <c r="F73" s="65" t="str">
        <f aca="true">IF(F54="","",SUMPRODUCT(F54*(1+IF(F55="",0,F55))^ROUNDDOWN((ROW(INDIRECT("1:"&amp;IF(F57="",10,F57)))-1)/IF(F56="",5,F56),0))+IF(OR(D13="",IF(F64="",IF($D$35="",0,$D$35),F64)=0),0,SUMPRODUCT(((D13*1.02^(ROW(INDIRECT("1:"&amp;IF(F57="",10,F57)))-1))-(IF(F65&lt;&gt;"",F65,IF($D$37&lt;&gt;"",$D$37,(F54*(1+IF(F55="",0,F55))^ROUNDDOWN((ROW(INDIRECT("1:"&amp;IF(F57="",10,F57)))-1)/IF(F56="",5,F56),0))/IF(F64="",IF($D$35="",0,$D$35),F64))))&gt;0)*((D13*1.02^(ROW(INDIRECT("1:"&amp;IF(F57="",10,F57)))-1))-(IF(F65&lt;&gt;"",F65,IF($D$37&lt;&gt;"",$D$37,(F54*(1+IF(F55="",0,F55))^ROUNDDOWN((ROW(INDIRECT("1:"&amp;IF(F57="",10,F57)))-1)/IF(F56="",5,F56),0))/IF(F64="",IF($D$35="",0,$D$35),F64))))))*IF(F64="",IF($D$35="",0,$D$35),F64)))</f>
        <v/>
      </c>
      <c r="G73" s="65" t="str">
        <f aca="true">IF(G54="","",SUMPRODUCT(G54*(1+IF(G55="",0,G55))^ROUNDDOWN((ROW(INDIRECT("1:"&amp;IF(G57="",10,G57)))-1)/IF(G56="",5,G56),0))+IF(OR(D13="",IF(G64="",IF($D$35="",0,$D$35),G64)=0),0,SUMPRODUCT(((D13*1.02^(ROW(INDIRECT("1:"&amp;IF(G57="",10,G57)))-1))-(IF(G65&lt;&gt;"",G65,IF($D$37&lt;&gt;"",$D$37,(G54*(1+IF(G55="",0,G55))^ROUNDDOWN((ROW(INDIRECT("1:"&amp;IF(G57="",10,G57)))-1)/IF(G56="",5,G56),0))/IF(G64="",IF($D$35="",0,$D$35),G64))))&gt;0)*((D13*1.02^(ROW(INDIRECT("1:"&amp;IF(G57="",10,G57)))-1))-(IF(G65&lt;&gt;"",G65,IF($D$37&lt;&gt;"",$D$37,(G54*(1+IF(G55="",0,G55))^ROUNDDOWN((ROW(INDIRECT("1:"&amp;IF(G57="",10,G57)))-1)/IF(G56="",5,G56),0))/IF(G64="",IF($D$35="",0,$D$35),G64))))))*IF(G64="",IF($D$35="",0,$D$35),G64)))</f>
        <v/>
      </c>
      <c r="H73" s="65" t="str">
        <f aca="true">IF(H54="","",SUMPRODUCT(H54*(1+IF(H55="",0,H55))^ROUNDDOWN((ROW(INDIRECT("1:"&amp;IF(H57="",10,H57)))-1)/IF(H56="",5,H56),0))+IF(OR(D13="",IF(H64="",IF($D$35="",0,$D$35),H64)=0),0,SUMPRODUCT(((D13*1.02^(ROW(INDIRECT("1:"&amp;IF(H57="",10,H57)))-1))-(IF(H65&lt;&gt;"",H65,IF($D$37&lt;&gt;"",$D$37,(H54*(1+IF(H55="",0,H55))^ROUNDDOWN((ROW(INDIRECT("1:"&amp;IF(H57="",10,H57)))-1)/IF(H56="",5,H56),0))/IF(H64="",IF($D$35="",0,$D$35),H64))))&gt;0)*((D13*1.02^(ROW(INDIRECT("1:"&amp;IF(H57="",10,H57)))-1))-(IF(H65&lt;&gt;"",H65,IF($D$37&lt;&gt;"",$D$37,(H54*(1+IF(H55="",0,H55))^ROUNDDOWN((ROW(INDIRECT("1:"&amp;IF(H57="",10,H57)))-1)/IF(H56="",5,H56),0))/IF(H64="",IF($D$35="",0,$D$35),H64))))))*IF(H64="",IF($D$35="",0,$D$35),H64)))</f>
        <v/>
      </c>
    </row>
    <row r="74" customFormat="false" ht="15" hidden="false" customHeight="true" outlineLevel="0" collapsed="false">
      <c r="A74" s="22" t="s">
        <v>374</v>
      </c>
      <c r="B74" s="22"/>
      <c r="C74" s="22"/>
      <c r="D74" s="62" t="n">
        <f aca="false">IF(D54="","",IF(D55="",0,(1+D55)^(5/IF(D56="",5,D56))-1))</f>
        <v>0.02</v>
      </c>
      <c r="E74" s="62" t="str">
        <f aca="false">IF(E54="","",IF(E55="",0,(1+E55)^(5/IF(E56="",5,E56))-1))</f>
        <v/>
      </c>
      <c r="F74" s="62" t="str">
        <f aca="false">IF(F54="","",IF(F55="",0,(1+F55)^(5/IF(F56="",5,F56))-1))</f>
        <v/>
      </c>
      <c r="G74" s="62" t="str">
        <f aca="false">IF(G54="","",IF(G55="",0,(1+G55)^(5/IF(G56="",5,G56))-1))</f>
        <v/>
      </c>
      <c r="H74" s="62" t="str">
        <f aca="false">IF(H54="","",IF(H55="",0,(1+H55)^(5/IF(H56="",5,H56))-1))</f>
        <v/>
      </c>
    </row>
    <row r="75" customFormat="false" ht="43.25" hidden="false" customHeight="true" outlineLevel="0" collapsed="false">
      <c r="A75" s="22" t="s">
        <v>375</v>
      </c>
      <c r="B75" s="22"/>
      <c r="C75" s="22"/>
      <c r="D75" s="66" t="str">
        <f aca="false">IF(D74="","",IF(D74&lt;=0,"REDUCTION / FLAT — ladder steps 1-2 (best)",IF(D74&lt;=0.08,"OK — within 8%/5-yr in-house authority (ladder step 3)","ABOVE 8%/5-yr — CEO SIGN-OFF REQUIRED (Rob 8/5/26)")))</f>
        <v>OK — within 8%/5-yr in-house authority (ladder step 3)</v>
      </c>
      <c r="E75" s="66" t="str">
        <f aca="false">IF(E74="","",IF(E74&lt;=0,"REDUCTION / FLAT — ladder steps 1-2 (best)",IF(E74&lt;=0.08,"OK — within 8%/5-yr in-house authority (ladder step 3)","ABOVE 8%/5-yr — CEO SIGN-OFF REQUIRED (Rob 8/5/26)")))</f>
        <v/>
      </c>
      <c r="F75" s="66" t="str">
        <f aca="false">IF(F74="","",IF(F74&lt;=0,"REDUCTION / FLAT — ladder steps 1-2 (best)",IF(F74&lt;=0.08,"OK — within 8%/5-yr in-house authority (ladder step 3)","ABOVE 8%/5-yr — CEO SIGN-OFF REQUIRED (Rob 8/5/26)")))</f>
        <v/>
      </c>
      <c r="G75" s="66" t="str">
        <f aca="false">IF(G74="","",IF(G74&lt;=0,"REDUCTION / FLAT — ladder steps 1-2 (best)",IF(G74&lt;=0.08,"OK — within 8%/5-yr in-house authority (ladder step 3)","ABOVE 8%/5-yr — CEO SIGN-OFF REQUIRED (Rob 8/5/26)")))</f>
        <v/>
      </c>
      <c r="H75" s="66" t="str">
        <f aca="false">IF(H74="","",IF(H74&lt;=0,"REDUCTION / FLAT — ladder steps 1-2 (best)",IF(H74&lt;=0.08,"OK — within 8%/5-yr in-house authority (ladder step 3)","ABOVE 8%/5-yr — CEO SIGN-OFF REQUIRED (Rob 8/5/26)")))</f>
        <v/>
      </c>
    </row>
    <row r="76" customFormat="false" ht="23.85" hidden="false" customHeight="true" outlineLevel="0" collapsed="false">
      <c r="A76" s="22" t="s">
        <v>376</v>
      </c>
      <c r="B76" s="22"/>
      <c r="C76" s="22"/>
      <c r="D76" s="62" t="n">
        <f aca="false">IF(OR(D54="",D13=""),"",((D54*(1+IF(D55="",0,D55))^ROUNDDOWN(9/IF(D56="",5,D56),0))+IF(IF(D64="",IF($D$35="",0,$D$35),D64)=0,0,MAX(0,D13*1.02^9-IF(D65&lt;&gt;"",D65,IF($D$37&lt;&gt;"",$D$37,(D54*(1+IF(D55="",0,D55))^ROUNDDOWN(9/IF(D56="",5,D56),0))/IF(D64="",IF($D$35="",0,$D$35),D64))))*IF(D64="",IF($D$35="",0,$D$35),D64)))/(D13*1.02^9))</f>
        <v>0.0311847389936889</v>
      </c>
      <c r="E76" s="62" t="str">
        <f aca="false">IF(OR(E54="",D13=""),"",((E54*(1+IF(E55="",0,E55))^ROUNDDOWN(9/IF(E56="",5,E56),0))+IF(IF(E64="",IF($D$35="",0,$D$35),E64)=0,0,MAX(0,D13*1.02^9-IF(E65&lt;&gt;"",E65,IF($D$37&lt;&gt;"",$D$37,(E54*(1+IF(E55="",0,E55))^ROUNDDOWN(9/IF(E56="",5,E56),0))/IF(E64="",IF($D$35="",0,$D$35),E64))))*IF(E64="",IF($D$35="",0,$D$35),E64)))/(D13*1.02^9))</f>
        <v/>
      </c>
      <c r="F76" s="62" t="str">
        <f aca="false">IF(OR(F54="",D13=""),"",((F54*(1+IF(F55="",0,F55))^ROUNDDOWN(9/IF(F56="",5,F56),0))+IF(IF(F64="",IF($D$35="",0,$D$35),F64)=0,0,MAX(0,D13*1.02^9-IF(F65&lt;&gt;"",F65,IF($D$37&lt;&gt;"",$D$37,(F54*(1+IF(F55="",0,F55))^ROUNDDOWN(9/IF(F56="",5,F56),0))/IF(F64="",IF($D$35="",0,$D$35),F64))))*IF(F64="",IF($D$35="",0,$D$35),F64)))/(D13*1.02^9))</f>
        <v/>
      </c>
      <c r="G76" s="62" t="str">
        <f aca="false">IF(OR(G54="",D13=""),"",((G54*(1+IF(G55="",0,G55))^ROUNDDOWN(9/IF(G56="",5,G56),0))+IF(IF(G64="",IF($D$35="",0,$D$35),G64)=0,0,MAX(0,D13*1.02^9-IF(G65&lt;&gt;"",G65,IF($D$37&lt;&gt;"",$D$37,(G54*(1+IF(G55="",0,G55))^ROUNDDOWN(9/IF(G56="",5,G56),0))/IF(G64="",IF($D$35="",0,$D$35),G64))))*IF(G64="",IF($D$35="",0,$D$35),G64)))/(D13*1.02^9))</f>
        <v/>
      </c>
      <c r="H76" s="62" t="str">
        <f aca="false">IF(OR(H54="",D13=""),"",((H54*(1+IF(H55="",0,H55))^ROUNDDOWN(9/IF(H56="",5,H56),0))+IF(IF(H64="",IF($D$35="",0,$D$35),H64)=0,0,MAX(0,D13*1.02^9-IF(H65&lt;&gt;"",H65,IF($D$37&lt;&gt;"",$D$37,(H54*(1+IF(H55="",0,H55))^ROUNDDOWN(9/IF(H56="",5,H56),0))/IF(H64="",IF($D$35="",0,$D$35),H64))))*IF(H64="",IF($D$35="",0,$D$35),H64)))/(D13*1.02^9))</f>
        <v/>
      </c>
    </row>
    <row r="77" customFormat="false" ht="23.85" hidden="false" customHeight="true" outlineLevel="0" collapsed="false">
      <c r="A77" s="22" t="s">
        <v>377</v>
      </c>
      <c r="B77" s="22"/>
      <c r="C77" s="22"/>
      <c r="D77" s="66" t="str">
        <f aca="false">IF(OR(D76="",D69=""),"",IF(MAX(D69,D76)&gt;=0.08,"HARD STOP — occupancy at/above 8% of sales: STOP, CEO sign-off before responding",IF(MAX(D69,D76)&gt;0.07,"Above Kim 7% alert — approaching 8% hard stop","OK — under 7% alert")))</f>
        <v>OK — under 7% alert</v>
      </c>
      <c r="E77" s="66" t="str">
        <f aca="false">IF(OR(E76="",E69=""),"",IF(MAX(E69,E76)&gt;=0.08,"HARD STOP — occupancy at/above 8% of sales: STOP, CEO sign-off before responding",IF(MAX(E69,E76)&gt;0.07,"Above Kim 7% alert — approaching 8% hard stop","OK — under 7% alert")))</f>
        <v/>
      </c>
      <c r="F77" s="66" t="str">
        <f aca="false">IF(OR(F76="",F69=""),"",IF(MAX(F69,F76)&gt;=0.08,"HARD STOP — occupancy at/above 8% of sales: STOP, CEO sign-off before responding",IF(MAX(F69,F76)&gt;0.07,"Above Kim 7% alert — approaching 8% hard stop","OK — under 7% alert")))</f>
        <v/>
      </c>
      <c r="G77" s="66" t="str">
        <f aca="false">IF(OR(G76="",G69=""),"",IF(MAX(G69,G76)&gt;=0.08,"HARD STOP — occupancy at/above 8% of sales: STOP, CEO sign-off before responding",IF(MAX(G69,G76)&gt;0.07,"Above Kim 7% alert — approaching 8% hard stop","OK — under 7% alert")))</f>
        <v/>
      </c>
      <c r="H77" s="66" t="str">
        <f aca="false">IF(OR(H76="",H69=""),"",IF(MAX(H69,H76)&gt;=0.08,"HARD STOP — occupancy at/above 8% of sales: STOP, CEO sign-off before responding",IF(MAX(H69,H76)&gt;0.07,"Above Kim 7% alert — approaching 8% hard stop","OK — under 7% alert")))</f>
        <v/>
      </c>
    </row>
    <row r="79" customFormat="false" ht="22.35" hidden="false" customHeight="true" outlineLevel="0" collapsed="false">
      <c r="A79" s="68" t="s">
        <v>379</v>
      </c>
      <c r="B79" s="68"/>
      <c r="C79" s="68"/>
      <c r="D79" s="68"/>
      <c r="E79" s="68"/>
      <c r="F79" s="68"/>
      <c r="G79" s="68"/>
      <c r="H79" s="68"/>
      <c r="I79" s="68"/>
      <c r="J79" s="68"/>
    </row>
    <row r="81" customFormat="false" ht="15" hidden="false" customHeight="false" outlineLevel="0" collapsed="false">
      <c r="A81" s="69" t="s">
        <v>380</v>
      </c>
      <c r="B81" s="69"/>
      <c r="C81" s="69"/>
      <c r="D81" s="69"/>
      <c r="E81" s="69"/>
      <c r="F81" s="69"/>
      <c r="G81" s="69"/>
      <c r="H81" s="69"/>
      <c r="I81" s="69"/>
      <c r="J81" s="69"/>
    </row>
    <row r="84" customFormat="false" ht="15" hidden="false" customHeight="false" outlineLevel="0" collapsed="false">
      <c r="A84" s="25" t="s">
        <v>381</v>
      </c>
    </row>
    <row r="85" customFormat="false" ht="15" hidden="false" customHeight="false" outlineLevel="0" collapsed="false">
      <c r="A85" s="69" t="s">
        <v>382</v>
      </c>
      <c r="B85" s="69"/>
      <c r="C85" s="69"/>
      <c r="D85" s="69"/>
      <c r="E85" s="69"/>
      <c r="F85" s="69"/>
      <c r="G85" s="69"/>
      <c r="H85" s="69"/>
      <c r="I85" s="69"/>
      <c r="J85" s="69"/>
      <c r="K85" s="69"/>
      <c r="L85" s="69"/>
      <c r="M85" s="69"/>
      <c r="N85" s="69"/>
      <c r="O85" s="69"/>
      <c r="P85" s="69"/>
      <c r="Q85" s="69"/>
      <c r="R85" s="69"/>
      <c r="S85" s="69"/>
      <c r="T85" s="69"/>
    </row>
    <row r="86" customFormat="false" ht="15" hidden="false" customHeight="true" outlineLevel="0" collapsed="false">
      <c r="A86" s="70" t="s">
        <v>383</v>
      </c>
      <c r="B86" s="70" t="s">
        <v>384</v>
      </c>
      <c r="C86" s="71" t="s">
        <v>385</v>
      </c>
      <c r="D86" s="71"/>
      <c r="E86" s="71"/>
      <c r="F86" s="71" t="s">
        <v>386</v>
      </c>
      <c r="G86" s="71"/>
      <c r="H86" s="71"/>
      <c r="I86" s="71" t="s">
        <v>387</v>
      </c>
      <c r="J86" s="71"/>
      <c r="K86" s="71"/>
      <c r="L86" s="71" t="s">
        <v>388</v>
      </c>
      <c r="M86" s="71"/>
      <c r="N86" s="71"/>
      <c r="O86" s="71" t="s">
        <v>389</v>
      </c>
      <c r="P86" s="71"/>
      <c r="Q86" s="71"/>
      <c r="R86" s="72" t="s">
        <v>390</v>
      </c>
      <c r="S86" s="72"/>
      <c r="T86" s="72"/>
    </row>
    <row r="87" customFormat="false" ht="15" hidden="false" customHeight="false" outlineLevel="0" collapsed="false">
      <c r="A87" s="73"/>
      <c r="B87" s="73"/>
      <c r="C87" s="73" t="s">
        <v>391</v>
      </c>
      <c r="D87" s="73" t="s">
        <v>392</v>
      </c>
      <c r="E87" s="73" t="s">
        <v>393</v>
      </c>
      <c r="F87" s="73" t="s">
        <v>391</v>
      </c>
      <c r="G87" s="73" t="s">
        <v>392</v>
      </c>
      <c r="H87" s="73" t="s">
        <v>393</v>
      </c>
      <c r="I87" s="73" t="s">
        <v>391</v>
      </c>
      <c r="J87" s="73" t="s">
        <v>392</v>
      </c>
      <c r="K87" s="73" t="s">
        <v>393</v>
      </c>
      <c r="L87" s="73" t="s">
        <v>391</v>
      </c>
      <c r="M87" s="73" t="s">
        <v>392</v>
      </c>
      <c r="N87" s="73" t="s">
        <v>393</v>
      </c>
      <c r="O87" s="73" t="s">
        <v>391</v>
      </c>
      <c r="P87" s="73" t="s">
        <v>392</v>
      </c>
      <c r="Q87" s="73" t="s">
        <v>393</v>
      </c>
      <c r="R87" s="73" t="s">
        <v>391</v>
      </c>
      <c r="S87" s="73" t="s">
        <v>392</v>
      </c>
      <c r="T87" s="73" t="s">
        <v>393</v>
      </c>
    </row>
    <row r="88" customFormat="false" ht="15" hidden="false" customHeight="false" outlineLevel="0" collapsed="false">
      <c r="A88" s="74" t="n">
        <v>1</v>
      </c>
      <c r="B88" s="75" t="n">
        <v>2296000</v>
      </c>
      <c r="C88" s="76" t="n">
        <v>83891</v>
      </c>
      <c r="D88" s="76" t="n">
        <v>0</v>
      </c>
      <c r="E88" s="76" t="n">
        <v>83891</v>
      </c>
      <c r="F88" s="75" t="n">
        <f aca="false">IF(D54="","",IF(1&gt;IF(D57="",10,D57),"",D54*(1+IF(D55="",0,D55))^ROUNDDOWN((1-1)/IF(D56="",5,D56),0)))</f>
        <v>83891</v>
      </c>
      <c r="G88" s="75" t="n">
        <f aca="false">IF(F88="","",IF((IF(D64="",IF($D$35="",0,$D$35),D64))=0,0,MAX(0,2296000-(IF(D65&lt;&gt;"",D65,IF($D$37&lt;&gt;"",$D$37,IF((IF(D64="",IF($D$35="",0,$D$35),D64))=0,0,D54/(IF(D64="",IF($D$35="",0,$D$35),D64)))))))*(IF(D64="",IF($D$35="",0,$D$35),D64))))</f>
        <v>0</v>
      </c>
      <c r="H88" s="75" t="n">
        <f aca="false">IF(F88="","",F88+G88)</f>
        <v>83891</v>
      </c>
      <c r="I88" s="75" t="str">
        <f aca="false">IF(E54="","",IF(1&gt;IF(E57="",10,E57),"",E54*(1+IF(E55="",0,E55))^ROUNDDOWN((1-1)/IF(E56="",5,E56),0)))</f>
        <v/>
      </c>
      <c r="J88" s="75" t="str">
        <f aca="false">IF(I88="","",IF((IF(E64="",IF($D$35="",0,$D$35),E64))=0,0,MAX(0,2296000-(IF(E65&lt;&gt;"",E65,IF($D$37&lt;&gt;"",$D$37,IF((IF(E64="",IF($D$35="",0,$D$35),E64))=0,0,E54/(IF(E64="",IF($D$35="",0,$D$35),E64)))))))*(IF(E64="",IF($D$35="",0,$D$35),E64))))</f>
        <v/>
      </c>
      <c r="K88" s="75" t="str">
        <f aca="false">IF(I88="","",I88+J88)</f>
        <v/>
      </c>
      <c r="L88" s="75" t="str">
        <f aca="false">IF(F54="","",IF(1&gt;IF(F57="",10,F57),"",F54*(1+IF(F55="",0,F55))^ROUNDDOWN((1-1)/IF(F56="",5,F56),0)))</f>
        <v/>
      </c>
      <c r="M88" s="75" t="str">
        <f aca="false">IF(L88="","",IF((IF(F64="",IF($D$35="",0,$D$35),F64))=0,0,MAX(0,2296000-(IF(F65&lt;&gt;"",F65,IF($D$37&lt;&gt;"",$D$37,IF((IF(F64="",IF($D$35="",0,$D$35),F64))=0,0,F54/(IF(F64="",IF($D$35="",0,$D$35),F64)))))))*(IF(F64="",IF($D$35="",0,$D$35),F64))))</f>
        <v/>
      </c>
      <c r="N88" s="75" t="str">
        <f aca="false">IF(L88="","",L88+M88)</f>
        <v/>
      </c>
      <c r="O88" s="75" t="str">
        <f aca="false">IF(G54="","",IF(1&gt;IF(G57="",10,G57),"",G54*(1+IF(G55="",0,G55))^ROUNDDOWN((1-1)/IF(G56="",5,G56),0)))</f>
        <v/>
      </c>
      <c r="P88" s="75" t="str">
        <f aca="false">IF(O88="","",IF((IF(G64="",IF($D$35="",0,$D$35),G64))=0,0,MAX(0,2296000-(IF(G65&lt;&gt;"",G65,IF($D$37&lt;&gt;"",$D$37,IF((IF(G64="",IF($D$35="",0,$D$35),G64))=0,0,G54/(IF(G64="",IF($D$35="",0,$D$35),G64)))))))*(IF(G64="",IF($D$35="",0,$D$35),G64))))</f>
        <v/>
      </c>
      <c r="Q88" s="75" t="str">
        <f aca="false">IF(O88="","",O88+P88)</f>
        <v/>
      </c>
      <c r="R88" s="75" t="str">
        <f aca="false">IF(H54="","",IF(1&gt;IF(H57="",10,H57),"",H54*(1+IF(H55="",0,H55))^ROUNDDOWN((1-1)/IF(H56="",5,H56),0)))</f>
        <v/>
      </c>
      <c r="S88" s="75" t="str">
        <f aca="false">IF(R88="","",IF((IF(H64="",IF($D$35="",0,$D$35),H64))=0,0,MAX(0,2296000-(IF(H65&lt;&gt;"",H65,IF($D$37&lt;&gt;"",$D$37,IF((IF(H64="",IF($D$35="",0,$D$35),H64))=0,0,H54/(IF(H64="",IF($D$35="",0,$D$35),H64)))))))*(IF(H64="",IF($D$35="",0,$D$35),H64))))</f>
        <v/>
      </c>
      <c r="T88" s="75" t="str">
        <f aca="false">IF(R88="","",R88+S88)</f>
        <v/>
      </c>
    </row>
    <row r="89" customFormat="false" ht="15" hidden="false" customHeight="false" outlineLevel="0" collapsed="false">
      <c r="A89" s="74" t="n">
        <v>2</v>
      </c>
      <c r="B89" s="75" t="n">
        <v>2341920</v>
      </c>
      <c r="C89" s="76" t="n">
        <v>83891</v>
      </c>
      <c r="D89" s="76" t="n">
        <v>0</v>
      </c>
      <c r="E89" s="76" t="n">
        <v>83891</v>
      </c>
      <c r="F89" s="75" t="n">
        <f aca="false">IF(D54="","",IF(2&gt;IF(D57="",10,D57),"",D54*(1+IF(D55="",0,D55))^ROUNDDOWN((2-1)/IF(D56="",5,D56),0)))</f>
        <v>83891</v>
      </c>
      <c r="G89" s="75" t="n">
        <f aca="false">IF(F89="","",IF((IF(D64="",IF($D$35="",0,$D$35),D64))=0,0,MAX(0,2341920-(IF(D65&lt;&gt;"",D65,IF($D$37&lt;&gt;"",$D$37,IF((IF(D64="",IF($D$35="",0,$D$35),D64))=0,0,D54/(IF(D64="",IF($D$35="",0,$D$35),D64)))))))*(IF(D64="",IF($D$35="",0,$D$35),D64))))</f>
        <v>0</v>
      </c>
      <c r="H89" s="75" t="n">
        <f aca="false">IF(F89="","",F89+G89)</f>
        <v>83891</v>
      </c>
      <c r="I89" s="75" t="str">
        <f aca="false">IF(E54="","",IF(2&gt;IF(E57="",10,E57),"",E54*(1+IF(E55="",0,E55))^ROUNDDOWN((2-1)/IF(E56="",5,E56),0)))</f>
        <v/>
      </c>
      <c r="J89" s="75" t="str">
        <f aca="false">IF(I89="","",IF((IF(E64="",IF($D$35="",0,$D$35),E64))=0,0,MAX(0,2341920-(IF(E65&lt;&gt;"",E65,IF($D$37&lt;&gt;"",$D$37,IF((IF(E64="",IF($D$35="",0,$D$35),E64))=0,0,E54/(IF(E64="",IF($D$35="",0,$D$35),E64)))))))*(IF(E64="",IF($D$35="",0,$D$35),E64))))</f>
        <v/>
      </c>
      <c r="K89" s="75" t="str">
        <f aca="false">IF(I89="","",I89+J89)</f>
        <v/>
      </c>
      <c r="L89" s="75" t="str">
        <f aca="false">IF(F54="","",IF(2&gt;IF(F57="",10,F57),"",F54*(1+IF(F55="",0,F55))^ROUNDDOWN((2-1)/IF(F56="",5,F56),0)))</f>
        <v/>
      </c>
      <c r="M89" s="75" t="str">
        <f aca="false">IF(L89="","",IF((IF(F64="",IF($D$35="",0,$D$35),F64))=0,0,MAX(0,2341920-(IF(F65&lt;&gt;"",F65,IF($D$37&lt;&gt;"",$D$37,IF((IF(F64="",IF($D$35="",0,$D$35),F64))=0,0,F54/(IF(F64="",IF($D$35="",0,$D$35),F64)))))))*(IF(F64="",IF($D$35="",0,$D$35),F64))))</f>
        <v/>
      </c>
      <c r="N89" s="75" t="str">
        <f aca="false">IF(L89="","",L89+M89)</f>
        <v/>
      </c>
      <c r="O89" s="75" t="str">
        <f aca="false">IF(G54="","",IF(2&gt;IF(G57="",10,G57),"",G54*(1+IF(G55="",0,G55))^ROUNDDOWN((2-1)/IF(G56="",5,G56),0)))</f>
        <v/>
      </c>
      <c r="P89" s="75" t="str">
        <f aca="false">IF(O89="","",IF((IF(G64="",IF($D$35="",0,$D$35),G64))=0,0,MAX(0,2341920-(IF(G65&lt;&gt;"",G65,IF($D$37&lt;&gt;"",$D$37,IF((IF(G64="",IF($D$35="",0,$D$35),G64))=0,0,G54/(IF(G64="",IF($D$35="",0,$D$35),G64)))))))*(IF(G64="",IF($D$35="",0,$D$35),G64))))</f>
        <v/>
      </c>
      <c r="Q89" s="75" t="str">
        <f aca="false">IF(O89="","",O89+P89)</f>
        <v/>
      </c>
      <c r="R89" s="75" t="str">
        <f aca="false">IF(H54="","",IF(2&gt;IF(H57="",10,H57),"",H54*(1+IF(H55="",0,H55))^ROUNDDOWN((2-1)/IF(H56="",5,H56),0)))</f>
        <v/>
      </c>
      <c r="S89" s="75" t="str">
        <f aca="false">IF(R89="","",IF((IF(H64="",IF($D$35="",0,$D$35),H64))=0,0,MAX(0,2341920-(IF(H65&lt;&gt;"",H65,IF($D$37&lt;&gt;"",$D$37,IF((IF(H64="",IF($D$35="",0,$D$35),H64))=0,0,H54/(IF(H64="",IF($D$35="",0,$D$35),H64)))))))*(IF(H64="",IF($D$35="",0,$D$35),H64))))</f>
        <v/>
      </c>
      <c r="T89" s="75" t="str">
        <f aca="false">IF(R89="","",R89+S89)</f>
        <v/>
      </c>
    </row>
    <row r="90" customFormat="false" ht="15" hidden="false" customHeight="false" outlineLevel="0" collapsed="false">
      <c r="A90" s="74" t="n">
        <v>3</v>
      </c>
      <c r="B90" s="75" t="n">
        <v>2388758</v>
      </c>
      <c r="C90" s="76" t="n">
        <v>83891</v>
      </c>
      <c r="D90" s="76" t="n">
        <v>0</v>
      </c>
      <c r="E90" s="76" t="n">
        <v>83891</v>
      </c>
      <c r="F90" s="75" t="n">
        <f aca="false">IF(D54="","",IF(3&gt;IF(D57="",10,D57),"",D54*(1+IF(D55="",0,D55))^ROUNDDOWN((3-1)/IF(D56="",5,D56),0)))</f>
        <v>83891</v>
      </c>
      <c r="G90" s="75" t="n">
        <f aca="false">IF(F90="","",IF((IF(D64="",IF($D$35="",0,$D$35),D64))=0,0,MAX(0,2388758.4-(IF(D65&lt;&gt;"",D65,IF($D$37&lt;&gt;"",$D$37,IF((IF(D64="",IF($D$35="",0,$D$35),D64))=0,0,D54/(IF(D64="",IF($D$35="",0,$D$35),D64)))))))*(IF(D64="",IF($D$35="",0,$D$35),D64))))</f>
        <v>0</v>
      </c>
      <c r="H90" s="75" t="n">
        <f aca="false">IF(F90="","",F90+G90)</f>
        <v>83891</v>
      </c>
      <c r="I90" s="75" t="str">
        <f aca="false">IF(E54="","",IF(3&gt;IF(E57="",10,E57),"",E54*(1+IF(E55="",0,E55))^ROUNDDOWN((3-1)/IF(E56="",5,E56),0)))</f>
        <v/>
      </c>
      <c r="J90" s="75" t="str">
        <f aca="false">IF(I90="","",IF((IF(E64="",IF($D$35="",0,$D$35),E64))=0,0,MAX(0,2388758.4-(IF(E65&lt;&gt;"",E65,IF($D$37&lt;&gt;"",$D$37,IF((IF(E64="",IF($D$35="",0,$D$35),E64))=0,0,E54/(IF(E64="",IF($D$35="",0,$D$35),E64)))))))*(IF(E64="",IF($D$35="",0,$D$35),E64))))</f>
        <v/>
      </c>
      <c r="K90" s="75" t="str">
        <f aca="false">IF(I90="","",I90+J90)</f>
        <v/>
      </c>
      <c r="L90" s="75" t="str">
        <f aca="false">IF(F54="","",IF(3&gt;IF(F57="",10,F57),"",F54*(1+IF(F55="",0,F55))^ROUNDDOWN((3-1)/IF(F56="",5,F56),0)))</f>
        <v/>
      </c>
      <c r="M90" s="75" t="str">
        <f aca="false">IF(L90="","",IF((IF(F64="",IF($D$35="",0,$D$35),F64))=0,0,MAX(0,2388758.4-(IF(F65&lt;&gt;"",F65,IF($D$37&lt;&gt;"",$D$37,IF((IF(F64="",IF($D$35="",0,$D$35),F64))=0,0,F54/(IF(F64="",IF($D$35="",0,$D$35),F64)))))))*(IF(F64="",IF($D$35="",0,$D$35),F64))))</f>
        <v/>
      </c>
      <c r="N90" s="75" t="str">
        <f aca="false">IF(L90="","",L90+M90)</f>
        <v/>
      </c>
      <c r="O90" s="75" t="str">
        <f aca="false">IF(G54="","",IF(3&gt;IF(G57="",10,G57),"",G54*(1+IF(G55="",0,G55))^ROUNDDOWN((3-1)/IF(G56="",5,G56),0)))</f>
        <v/>
      </c>
      <c r="P90" s="75" t="str">
        <f aca="false">IF(O90="","",IF((IF(G64="",IF($D$35="",0,$D$35),G64))=0,0,MAX(0,2388758.4-(IF(G65&lt;&gt;"",G65,IF($D$37&lt;&gt;"",$D$37,IF((IF(G64="",IF($D$35="",0,$D$35),G64))=0,0,G54/(IF(G64="",IF($D$35="",0,$D$35),G64)))))))*(IF(G64="",IF($D$35="",0,$D$35),G64))))</f>
        <v/>
      </c>
      <c r="Q90" s="75" t="str">
        <f aca="false">IF(O90="","",O90+P90)</f>
        <v/>
      </c>
      <c r="R90" s="75" t="str">
        <f aca="false">IF(H54="","",IF(3&gt;IF(H57="",10,H57),"",H54*(1+IF(H55="",0,H55))^ROUNDDOWN((3-1)/IF(H56="",5,H56),0)))</f>
        <v/>
      </c>
      <c r="S90" s="75" t="str">
        <f aca="false">IF(R90="","",IF((IF(H64="",IF($D$35="",0,$D$35),H64))=0,0,MAX(0,2388758.4-(IF(H65&lt;&gt;"",H65,IF($D$37&lt;&gt;"",$D$37,IF((IF(H64="",IF($D$35="",0,$D$35),H64))=0,0,H54/(IF(H64="",IF($D$35="",0,$D$35),H64)))))))*(IF(H64="",IF($D$35="",0,$D$35),H64))))</f>
        <v/>
      </c>
      <c r="T90" s="75" t="str">
        <f aca="false">IF(R90="","",R90+S90)</f>
        <v/>
      </c>
    </row>
    <row r="91" customFormat="false" ht="15" hidden="false" customHeight="false" outlineLevel="0" collapsed="false">
      <c r="A91" s="74" t="n">
        <v>4</v>
      </c>
      <c r="B91" s="75" t="n">
        <v>2436534</v>
      </c>
      <c r="C91" s="76" t="n">
        <v>83891</v>
      </c>
      <c r="D91" s="76" t="n">
        <v>0</v>
      </c>
      <c r="E91" s="76" t="n">
        <v>83891</v>
      </c>
      <c r="F91" s="75" t="n">
        <f aca="false">IF(D54="","",IF(4&gt;IF(D57="",10,D57),"",D54*(1+IF(D55="",0,D55))^ROUNDDOWN((4-1)/IF(D56="",5,D56),0)))</f>
        <v>83891</v>
      </c>
      <c r="G91" s="75" t="n">
        <f aca="false">IF(F91="","",IF((IF(D64="",IF($D$35="",0,$D$35),D64))=0,0,MAX(0,2436533.57-(IF(D65&lt;&gt;"",D65,IF($D$37&lt;&gt;"",$D$37,IF((IF(D64="",IF($D$35="",0,$D$35),D64))=0,0,D54/(IF(D64="",IF($D$35="",0,$D$35),D64)))))))*(IF(D64="",IF($D$35="",0,$D$35),D64))))</f>
        <v>0</v>
      </c>
      <c r="H91" s="75" t="n">
        <f aca="false">IF(F91="","",F91+G91)</f>
        <v>83891</v>
      </c>
      <c r="I91" s="75" t="str">
        <f aca="false">IF(E54="","",IF(4&gt;IF(E57="",10,E57),"",E54*(1+IF(E55="",0,E55))^ROUNDDOWN((4-1)/IF(E56="",5,E56),0)))</f>
        <v/>
      </c>
      <c r="J91" s="75" t="str">
        <f aca="false">IF(I91="","",IF((IF(E64="",IF($D$35="",0,$D$35),E64))=0,0,MAX(0,2436533.57-(IF(E65&lt;&gt;"",E65,IF($D$37&lt;&gt;"",$D$37,IF((IF(E64="",IF($D$35="",0,$D$35),E64))=0,0,E54/(IF(E64="",IF($D$35="",0,$D$35),E64)))))))*(IF(E64="",IF($D$35="",0,$D$35),E64))))</f>
        <v/>
      </c>
      <c r="K91" s="75" t="str">
        <f aca="false">IF(I91="","",I91+J91)</f>
        <v/>
      </c>
      <c r="L91" s="75" t="str">
        <f aca="false">IF(F54="","",IF(4&gt;IF(F57="",10,F57),"",F54*(1+IF(F55="",0,F55))^ROUNDDOWN((4-1)/IF(F56="",5,F56),0)))</f>
        <v/>
      </c>
      <c r="M91" s="75" t="str">
        <f aca="false">IF(L91="","",IF((IF(F64="",IF($D$35="",0,$D$35),F64))=0,0,MAX(0,2436533.57-(IF(F65&lt;&gt;"",F65,IF($D$37&lt;&gt;"",$D$37,IF((IF(F64="",IF($D$35="",0,$D$35),F64))=0,0,F54/(IF(F64="",IF($D$35="",0,$D$35),F64)))))))*(IF(F64="",IF($D$35="",0,$D$35),F64))))</f>
        <v/>
      </c>
      <c r="N91" s="75" t="str">
        <f aca="false">IF(L91="","",L91+M91)</f>
        <v/>
      </c>
      <c r="O91" s="75" t="str">
        <f aca="false">IF(G54="","",IF(4&gt;IF(G57="",10,G57),"",G54*(1+IF(G55="",0,G55))^ROUNDDOWN((4-1)/IF(G56="",5,G56),0)))</f>
        <v/>
      </c>
      <c r="P91" s="75" t="str">
        <f aca="false">IF(O91="","",IF((IF(G64="",IF($D$35="",0,$D$35),G64))=0,0,MAX(0,2436533.57-(IF(G65&lt;&gt;"",G65,IF($D$37&lt;&gt;"",$D$37,IF((IF(G64="",IF($D$35="",0,$D$35),G64))=0,0,G54/(IF(G64="",IF($D$35="",0,$D$35),G64)))))))*(IF(G64="",IF($D$35="",0,$D$35),G64))))</f>
        <v/>
      </c>
      <c r="Q91" s="75" t="str">
        <f aca="false">IF(O91="","",O91+P91)</f>
        <v/>
      </c>
      <c r="R91" s="75" t="str">
        <f aca="false">IF(H54="","",IF(4&gt;IF(H57="",10,H57),"",H54*(1+IF(H55="",0,H55))^ROUNDDOWN((4-1)/IF(H56="",5,H56),0)))</f>
        <v/>
      </c>
      <c r="S91" s="75" t="str">
        <f aca="false">IF(R91="","",IF((IF(H64="",IF($D$35="",0,$D$35),H64))=0,0,MAX(0,2436533.57-(IF(H65&lt;&gt;"",H65,IF($D$37&lt;&gt;"",$D$37,IF((IF(H64="",IF($D$35="",0,$D$35),H64))=0,0,H54/(IF(H64="",IF($D$35="",0,$D$35),H64)))))))*(IF(H64="",IF($D$35="",0,$D$35),H64))))</f>
        <v/>
      </c>
      <c r="T91" s="75" t="str">
        <f aca="false">IF(R91="","",R91+S91)</f>
        <v/>
      </c>
    </row>
    <row r="92" customFormat="false" ht="15" hidden="false" customHeight="false" outlineLevel="0" collapsed="false">
      <c r="A92" s="74" t="n">
        <v>5</v>
      </c>
      <c r="B92" s="75" t="n">
        <v>2485264</v>
      </c>
      <c r="C92" s="76" t="n">
        <v>83891</v>
      </c>
      <c r="D92" s="76" t="n">
        <v>0</v>
      </c>
      <c r="E92" s="76" t="n">
        <v>83891</v>
      </c>
      <c r="F92" s="75" t="n">
        <f aca="false">IF(D54="","",IF(5&gt;IF(D57="",10,D57),"",D54*(1+IF(D55="",0,D55))^ROUNDDOWN((5-1)/IF(D56="",5,D56),0)))</f>
        <v>83891</v>
      </c>
      <c r="G92" s="75" t="n">
        <f aca="false">IF(F92="","",IF((IF(D64="",IF($D$35="",0,$D$35),D64))=0,0,MAX(0,2485264.24-(IF(D65&lt;&gt;"",D65,IF($D$37&lt;&gt;"",$D$37,IF((IF(D64="",IF($D$35="",0,$D$35),D64))=0,0,D54/(IF(D64="",IF($D$35="",0,$D$35),D64)))))))*(IF(D64="",IF($D$35="",0,$D$35),D64))))</f>
        <v>0</v>
      </c>
      <c r="H92" s="75" t="n">
        <f aca="false">IF(F92="","",F92+G92)</f>
        <v>83891</v>
      </c>
      <c r="I92" s="75" t="str">
        <f aca="false">IF(E54="","",IF(5&gt;IF(E57="",10,E57),"",E54*(1+IF(E55="",0,E55))^ROUNDDOWN((5-1)/IF(E56="",5,E56),0)))</f>
        <v/>
      </c>
      <c r="J92" s="75" t="str">
        <f aca="false">IF(I92="","",IF((IF(E64="",IF($D$35="",0,$D$35),E64))=0,0,MAX(0,2485264.24-(IF(E65&lt;&gt;"",E65,IF($D$37&lt;&gt;"",$D$37,IF((IF(E64="",IF($D$35="",0,$D$35),E64))=0,0,E54/(IF(E64="",IF($D$35="",0,$D$35),E64)))))))*(IF(E64="",IF($D$35="",0,$D$35),E64))))</f>
        <v/>
      </c>
      <c r="K92" s="75" t="str">
        <f aca="false">IF(I92="","",I92+J92)</f>
        <v/>
      </c>
      <c r="L92" s="75" t="str">
        <f aca="false">IF(F54="","",IF(5&gt;IF(F57="",10,F57),"",F54*(1+IF(F55="",0,F55))^ROUNDDOWN((5-1)/IF(F56="",5,F56),0)))</f>
        <v/>
      </c>
      <c r="M92" s="75" t="str">
        <f aca="false">IF(L92="","",IF((IF(F64="",IF($D$35="",0,$D$35),F64))=0,0,MAX(0,2485264.24-(IF(F65&lt;&gt;"",F65,IF($D$37&lt;&gt;"",$D$37,IF((IF(F64="",IF($D$35="",0,$D$35),F64))=0,0,F54/(IF(F64="",IF($D$35="",0,$D$35),F64)))))))*(IF(F64="",IF($D$35="",0,$D$35),F64))))</f>
        <v/>
      </c>
      <c r="N92" s="75" t="str">
        <f aca="false">IF(L92="","",L92+M92)</f>
        <v/>
      </c>
      <c r="O92" s="75" t="str">
        <f aca="false">IF(G54="","",IF(5&gt;IF(G57="",10,G57),"",G54*(1+IF(G55="",0,G55))^ROUNDDOWN((5-1)/IF(G56="",5,G56),0)))</f>
        <v/>
      </c>
      <c r="P92" s="75" t="str">
        <f aca="false">IF(O92="","",IF((IF(G64="",IF($D$35="",0,$D$35),G64))=0,0,MAX(0,2485264.24-(IF(G65&lt;&gt;"",G65,IF($D$37&lt;&gt;"",$D$37,IF((IF(G64="",IF($D$35="",0,$D$35),G64))=0,0,G54/(IF(G64="",IF($D$35="",0,$D$35),G64)))))))*(IF(G64="",IF($D$35="",0,$D$35),G64))))</f>
        <v/>
      </c>
      <c r="Q92" s="75" t="str">
        <f aca="false">IF(O92="","",O92+P92)</f>
        <v/>
      </c>
      <c r="R92" s="75" t="str">
        <f aca="false">IF(H54="","",IF(5&gt;IF(H57="",10,H57),"",H54*(1+IF(H55="",0,H55))^ROUNDDOWN((5-1)/IF(H56="",5,H56),0)))</f>
        <v/>
      </c>
      <c r="S92" s="75" t="str">
        <f aca="false">IF(R92="","",IF((IF(H64="",IF($D$35="",0,$D$35),H64))=0,0,MAX(0,2485264.24-(IF(H65&lt;&gt;"",H65,IF($D$37&lt;&gt;"",$D$37,IF((IF(H64="",IF($D$35="",0,$D$35),H64))=0,0,H54/(IF(H64="",IF($D$35="",0,$D$35),H64)))))))*(IF(H64="",IF($D$35="",0,$D$35),H64))))</f>
        <v/>
      </c>
      <c r="T92" s="75" t="str">
        <f aca="false">IF(R92="","",R92+S92)</f>
        <v/>
      </c>
    </row>
    <row r="93" customFormat="false" ht="15" hidden="false" customHeight="false" outlineLevel="0" collapsed="false">
      <c r="A93" s="74" t="n">
        <v>6</v>
      </c>
      <c r="B93" s="75" t="n">
        <v>2534970</v>
      </c>
      <c r="C93" s="76" t="n">
        <v>90602</v>
      </c>
      <c r="D93" s="76" t="n">
        <v>0</v>
      </c>
      <c r="E93" s="76" t="n">
        <v>90602</v>
      </c>
      <c r="F93" s="75" t="n">
        <f aca="false">IF(D54="","",IF(6&gt;IF(D57="",10,D57),"",D54*(1+IF(D55="",0,D55))^ROUNDDOWN((6-1)/IF(D56="",5,D56),0)))</f>
        <v>85568.82</v>
      </c>
      <c r="G93" s="75" t="n">
        <f aca="false">IF(F93="","",IF((IF(D64="",IF($D$35="",0,$D$35),D64))=0,0,MAX(0,2534969.52-(IF(D65&lt;&gt;"",D65,IF($D$37&lt;&gt;"",$D$37,IF((IF(D64="",IF($D$35="",0,$D$35),D64))=0,0,D54/(IF(D64="",IF($D$35="",0,$D$35),D64)))))))*(IF(D64="",IF($D$35="",0,$D$35),D64))))</f>
        <v>0</v>
      </c>
      <c r="H93" s="75" t="n">
        <f aca="false">IF(F93="","",F93+G93)</f>
        <v>85568.82</v>
      </c>
      <c r="I93" s="75" t="str">
        <f aca="false">IF(E54="","",IF(6&gt;IF(E57="",10,E57),"",E54*(1+IF(E55="",0,E55))^ROUNDDOWN((6-1)/IF(E56="",5,E56),0)))</f>
        <v/>
      </c>
      <c r="J93" s="75" t="str">
        <f aca="false">IF(I93="","",IF((IF(E64="",IF($D$35="",0,$D$35),E64))=0,0,MAX(0,2534969.52-(IF(E65&lt;&gt;"",E65,IF($D$37&lt;&gt;"",$D$37,IF((IF(E64="",IF($D$35="",0,$D$35),E64))=0,0,E54/(IF(E64="",IF($D$35="",0,$D$35),E64)))))))*(IF(E64="",IF($D$35="",0,$D$35),E64))))</f>
        <v/>
      </c>
      <c r="K93" s="75" t="str">
        <f aca="false">IF(I93="","",I93+J93)</f>
        <v/>
      </c>
      <c r="L93" s="75" t="str">
        <f aca="false">IF(F54="","",IF(6&gt;IF(F57="",10,F57),"",F54*(1+IF(F55="",0,F55))^ROUNDDOWN((6-1)/IF(F56="",5,F56),0)))</f>
        <v/>
      </c>
      <c r="M93" s="75" t="str">
        <f aca="false">IF(L93="","",IF((IF(F64="",IF($D$35="",0,$D$35),F64))=0,0,MAX(0,2534969.52-(IF(F65&lt;&gt;"",F65,IF($D$37&lt;&gt;"",$D$37,IF((IF(F64="",IF($D$35="",0,$D$35),F64))=0,0,F54/(IF(F64="",IF($D$35="",0,$D$35),F64)))))))*(IF(F64="",IF($D$35="",0,$D$35),F64))))</f>
        <v/>
      </c>
      <c r="N93" s="75" t="str">
        <f aca="false">IF(L93="","",L93+M93)</f>
        <v/>
      </c>
      <c r="O93" s="75" t="str">
        <f aca="false">IF(G54="","",IF(6&gt;IF(G57="",10,G57),"",G54*(1+IF(G55="",0,G55))^ROUNDDOWN((6-1)/IF(G56="",5,G56),0)))</f>
        <v/>
      </c>
      <c r="P93" s="75" t="str">
        <f aca="false">IF(O93="","",IF((IF(G64="",IF($D$35="",0,$D$35),G64))=0,0,MAX(0,2534969.52-(IF(G65&lt;&gt;"",G65,IF($D$37&lt;&gt;"",$D$37,IF((IF(G64="",IF($D$35="",0,$D$35),G64))=0,0,G54/(IF(G64="",IF($D$35="",0,$D$35),G64)))))))*(IF(G64="",IF($D$35="",0,$D$35),G64))))</f>
        <v/>
      </c>
      <c r="Q93" s="75" t="str">
        <f aca="false">IF(O93="","",O93+P93)</f>
        <v/>
      </c>
      <c r="R93" s="75" t="str">
        <f aca="false">IF(H54="","",IF(6&gt;IF(H57="",10,H57),"",H54*(1+IF(H55="",0,H55))^ROUNDDOWN((6-1)/IF(H56="",5,H56),0)))</f>
        <v/>
      </c>
      <c r="S93" s="75" t="str">
        <f aca="false">IF(R93="","",IF((IF(H64="",IF($D$35="",0,$D$35),H64))=0,0,MAX(0,2534969.52-(IF(H65&lt;&gt;"",H65,IF($D$37&lt;&gt;"",$D$37,IF((IF(H64="",IF($D$35="",0,$D$35),H64))=0,0,H54/(IF(H64="",IF($D$35="",0,$D$35),H64)))))))*(IF(H64="",IF($D$35="",0,$D$35),H64))))</f>
        <v/>
      </c>
      <c r="T93" s="75" t="str">
        <f aca="false">IF(R93="","",R93+S93)</f>
        <v/>
      </c>
    </row>
    <row r="94" customFormat="false" ht="15" hidden="false" customHeight="false" outlineLevel="0" collapsed="false">
      <c r="A94" s="74" t="n">
        <v>7</v>
      </c>
      <c r="B94" s="75" t="n">
        <v>2585669</v>
      </c>
      <c r="C94" s="76" t="n">
        <v>90602</v>
      </c>
      <c r="D94" s="76" t="n">
        <v>0</v>
      </c>
      <c r="E94" s="76" t="n">
        <v>90602</v>
      </c>
      <c r="F94" s="75" t="n">
        <f aca="false">IF(D54="","",IF(7&gt;IF(D57="",10,D57),"",D54*(1+IF(D55="",0,D55))^ROUNDDOWN((7-1)/IF(D56="",5,D56),0)))</f>
        <v>85568.82</v>
      </c>
      <c r="G94" s="75" t="n">
        <f aca="false">IF(F94="","",IF((IF(D64="",IF($D$35="",0,$D$35),D64))=0,0,MAX(0,2585668.91-(IF(D65&lt;&gt;"",D65,IF($D$37&lt;&gt;"",$D$37,IF((IF(D64="",IF($D$35="",0,$D$35),D64))=0,0,D54/(IF(D64="",IF($D$35="",0,$D$35),D64)))))))*(IF(D64="",IF($D$35="",0,$D$35),D64))))</f>
        <v>0</v>
      </c>
      <c r="H94" s="75" t="n">
        <f aca="false">IF(F94="","",F94+G94)</f>
        <v>85568.82</v>
      </c>
      <c r="I94" s="75" t="str">
        <f aca="false">IF(E54="","",IF(7&gt;IF(E57="",10,E57),"",E54*(1+IF(E55="",0,E55))^ROUNDDOWN((7-1)/IF(E56="",5,E56),0)))</f>
        <v/>
      </c>
      <c r="J94" s="75" t="str">
        <f aca="false">IF(I94="","",IF((IF(E64="",IF($D$35="",0,$D$35),E64))=0,0,MAX(0,2585668.91-(IF(E65&lt;&gt;"",E65,IF($D$37&lt;&gt;"",$D$37,IF((IF(E64="",IF($D$35="",0,$D$35),E64))=0,0,E54/(IF(E64="",IF($D$35="",0,$D$35),E64)))))))*(IF(E64="",IF($D$35="",0,$D$35),E64))))</f>
        <v/>
      </c>
      <c r="K94" s="75" t="str">
        <f aca="false">IF(I94="","",I94+J94)</f>
        <v/>
      </c>
      <c r="L94" s="75" t="str">
        <f aca="false">IF(F54="","",IF(7&gt;IF(F57="",10,F57),"",F54*(1+IF(F55="",0,F55))^ROUNDDOWN((7-1)/IF(F56="",5,F56),0)))</f>
        <v/>
      </c>
      <c r="M94" s="75" t="str">
        <f aca="false">IF(L94="","",IF((IF(F64="",IF($D$35="",0,$D$35),F64))=0,0,MAX(0,2585668.91-(IF(F65&lt;&gt;"",F65,IF($D$37&lt;&gt;"",$D$37,IF((IF(F64="",IF($D$35="",0,$D$35),F64))=0,0,F54/(IF(F64="",IF($D$35="",0,$D$35),F64)))))))*(IF(F64="",IF($D$35="",0,$D$35),F64))))</f>
        <v/>
      </c>
      <c r="N94" s="75" t="str">
        <f aca="false">IF(L94="","",L94+M94)</f>
        <v/>
      </c>
      <c r="O94" s="75" t="str">
        <f aca="false">IF(G54="","",IF(7&gt;IF(G57="",10,G57),"",G54*(1+IF(G55="",0,G55))^ROUNDDOWN((7-1)/IF(G56="",5,G56),0)))</f>
        <v/>
      </c>
      <c r="P94" s="75" t="str">
        <f aca="false">IF(O94="","",IF((IF(G64="",IF($D$35="",0,$D$35),G64))=0,0,MAX(0,2585668.91-(IF(G65&lt;&gt;"",G65,IF($D$37&lt;&gt;"",$D$37,IF((IF(G64="",IF($D$35="",0,$D$35),G64))=0,0,G54/(IF(G64="",IF($D$35="",0,$D$35),G64)))))))*(IF(G64="",IF($D$35="",0,$D$35),G64))))</f>
        <v/>
      </c>
      <c r="Q94" s="75" t="str">
        <f aca="false">IF(O94="","",O94+P94)</f>
        <v/>
      </c>
      <c r="R94" s="75" t="str">
        <f aca="false">IF(H54="","",IF(7&gt;IF(H57="",10,H57),"",H54*(1+IF(H55="",0,H55))^ROUNDDOWN((7-1)/IF(H56="",5,H56),0)))</f>
        <v/>
      </c>
      <c r="S94" s="75" t="str">
        <f aca="false">IF(R94="","",IF((IF(H64="",IF($D$35="",0,$D$35),H64))=0,0,MAX(0,2585668.91-(IF(H65&lt;&gt;"",H65,IF($D$37&lt;&gt;"",$D$37,IF((IF(H64="",IF($D$35="",0,$D$35),H64))=0,0,H54/(IF(H64="",IF($D$35="",0,$D$35),H64)))))))*(IF(H64="",IF($D$35="",0,$D$35),H64))))</f>
        <v/>
      </c>
      <c r="T94" s="75" t="str">
        <f aca="false">IF(R94="","",R94+S94)</f>
        <v/>
      </c>
    </row>
    <row r="95" customFormat="false" ht="15" hidden="false" customHeight="false" outlineLevel="0" collapsed="false">
      <c r="A95" s="74" t="n">
        <v>8</v>
      </c>
      <c r="B95" s="75" t="n">
        <v>2637382</v>
      </c>
      <c r="C95" s="76" t="n">
        <v>90602</v>
      </c>
      <c r="D95" s="76" t="n">
        <v>0</v>
      </c>
      <c r="E95" s="76" t="n">
        <v>90602</v>
      </c>
      <c r="F95" s="75" t="n">
        <f aca="false">IF(D54="","",IF(8&gt;IF(D57="",10,D57),"",D54*(1+IF(D55="",0,D55))^ROUNDDOWN((8-1)/IF(D56="",5,D56),0)))</f>
        <v>85568.82</v>
      </c>
      <c r="G95" s="75" t="n">
        <f aca="false">IF(F95="","",IF((IF(D64="",IF($D$35="",0,$D$35),D64))=0,0,MAX(0,2637382.29-(IF(D65&lt;&gt;"",D65,IF($D$37&lt;&gt;"",$D$37,IF((IF(D64="",IF($D$35="",0,$D$35),D64))=0,0,D54/(IF(D64="",IF($D$35="",0,$D$35),D64)))))))*(IF(D64="",IF($D$35="",0,$D$35),D64))))</f>
        <v>0</v>
      </c>
      <c r="H95" s="75" t="n">
        <f aca="false">IF(F95="","",F95+G95)</f>
        <v>85568.82</v>
      </c>
      <c r="I95" s="75" t="str">
        <f aca="false">IF(E54="","",IF(8&gt;IF(E57="",10,E57),"",E54*(1+IF(E55="",0,E55))^ROUNDDOWN((8-1)/IF(E56="",5,E56),0)))</f>
        <v/>
      </c>
      <c r="J95" s="75" t="str">
        <f aca="false">IF(I95="","",IF((IF(E64="",IF($D$35="",0,$D$35),E64))=0,0,MAX(0,2637382.29-(IF(E65&lt;&gt;"",E65,IF($D$37&lt;&gt;"",$D$37,IF((IF(E64="",IF($D$35="",0,$D$35),E64))=0,0,E54/(IF(E64="",IF($D$35="",0,$D$35),E64)))))))*(IF(E64="",IF($D$35="",0,$D$35),E64))))</f>
        <v/>
      </c>
      <c r="K95" s="75" t="str">
        <f aca="false">IF(I95="","",I95+J95)</f>
        <v/>
      </c>
      <c r="L95" s="75" t="str">
        <f aca="false">IF(F54="","",IF(8&gt;IF(F57="",10,F57),"",F54*(1+IF(F55="",0,F55))^ROUNDDOWN((8-1)/IF(F56="",5,F56),0)))</f>
        <v/>
      </c>
      <c r="M95" s="75" t="str">
        <f aca="false">IF(L95="","",IF((IF(F64="",IF($D$35="",0,$D$35),F64))=0,0,MAX(0,2637382.29-(IF(F65&lt;&gt;"",F65,IF($D$37&lt;&gt;"",$D$37,IF((IF(F64="",IF($D$35="",0,$D$35),F64))=0,0,F54/(IF(F64="",IF($D$35="",0,$D$35),F64)))))))*(IF(F64="",IF($D$35="",0,$D$35),F64))))</f>
        <v/>
      </c>
      <c r="N95" s="75" t="str">
        <f aca="false">IF(L95="","",L95+M95)</f>
        <v/>
      </c>
      <c r="O95" s="75" t="str">
        <f aca="false">IF(G54="","",IF(8&gt;IF(G57="",10,G57),"",G54*(1+IF(G55="",0,G55))^ROUNDDOWN((8-1)/IF(G56="",5,G56),0)))</f>
        <v/>
      </c>
      <c r="P95" s="75" t="str">
        <f aca="false">IF(O95="","",IF((IF(G64="",IF($D$35="",0,$D$35),G64))=0,0,MAX(0,2637382.29-(IF(G65&lt;&gt;"",G65,IF($D$37&lt;&gt;"",$D$37,IF((IF(G64="",IF($D$35="",0,$D$35),G64))=0,0,G54/(IF(G64="",IF($D$35="",0,$D$35),G64)))))))*(IF(G64="",IF($D$35="",0,$D$35),G64))))</f>
        <v/>
      </c>
      <c r="Q95" s="75" t="str">
        <f aca="false">IF(O95="","",O95+P95)</f>
        <v/>
      </c>
      <c r="R95" s="75" t="str">
        <f aca="false">IF(H54="","",IF(8&gt;IF(H57="",10,H57),"",H54*(1+IF(H55="",0,H55))^ROUNDDOWN((8-1)/IF(H56="",5,H56),0)))</f>
        <v/>
      </c>
      <c r="S95" s="75" t="str">
        <f aca="false">IF(R95="","",IF((IF(H64="",IF($D$35="",0,$D$35),H64))=0,0,MAX(0,2637382.29-(IF(H65&lt;&gt;"",H65,IF($D$37&lt;&gt;"",$D$37,IF((IF(H64="",IF($D$35="",0,$D$35),H64))=0,0,H54/(IF(H64="",IF($D$35="",0,$D$35),H64)))))))*(IF(H64="",IF($D$35="",0,$D$35),H64))))</f>
        <v/>
      </c>
      <c r="T95" s="75" t="str">
        <f aca="false">IF(R95="","",R95+S95)</f>
        <v/>
      </c>
    </row>
    <row r="96" customFormat="false" ht="15" hidden="false" customHeight="false" outlineLevel="0" collapsed="false">
      <c r="A96" s="74" t="n">
        <v>9</v>
      </c>
      <c r="B96" s="75" t="n">
        <v>2690130</v>
      </c>
      <c r="C96" s="76" t="n">
        <v>90602</v>
      </c>
      <c r="D96" s="76" t="n">
        <v>0</v>
      </c>
      <c r="E96" s="76" t="n">
        <v>90602</v>
      </c>
      <c r="F96" s="75" t="n">
        <f aca="false">IF(D54="","",IF(9&gt;IF(D57="",10,D57),"",D54*(1+IF(D55="",0,D55))^ROUNDDOWN((9-1)/IF(D56="",5,D56),0)))</f>
        <v>85568.82</v>
      </c>
      <c r="G96" s="75" t="n">
        <f aca="false">IF(F96="","",IF((IF(D64="",IF($D$35="",0,$D$35),D64))=0,0,MAX(0,2690129.94-(IF(D65&lt;&gt;"",D65,IF($D$37&lt;&gt;"",$D$37,IF((IF(D64="",IF($D$35="",0,$D$35),D64))=0,0,D54/(IF(D64="",IF($D$35="",0,$D$35),D64)))))))*(IF(D64="",IF($D$35="",0,$D$35),D64))))</f>
        <v>0</v>
      </c>
      <c r="H96" s="75" t="n">
        <f aca="false">IF(F96="","",F96+G96)</f>
        <v>85568.82</v>
      </c>
      <c r="I96" s="75" t="str">
        <f aca="false">IF(E54="","",IF(9&gt;IF(E57="",10,E57),"",E54*(1+IF(E55="",0,E55))^ROUNDDOWN((9-1)/IF(E56="",5,E56),0)))</f>
        <v/>
      </c>
      <c r="J96" s="75" t="str">
        <f aca="false">IF(I96="","",IF((IF(E64="",IF($D$35="",0,$D$35),E64))=0,0,MAX(0,2690129.94-(IF(E65&lt;&gt;"",E65,IF($D$37&lt;&gt;"",$D$37,IF((IF(E64="",IF($D$35="",0,$D$35),E64))=0,0,E54/(IF(E64="",IF($D$35="",0,$D$35),E64)))))))*(IF(E64="",IF($D$35="",0,$D$35),E64))))</f>
        <v/>
      </c>
      <c r="K96" s="75" t="str">
        <f aca="false">IF(I96="","",I96+J96)</f>
        <v/>
      </c>
      <c r="L96" s="75" t="str">
        <f aca="false">IF(F54="","",IF(9&gt;IF(F57="",10,F57),"",F54*(1+IF(F55="",0,F55))^ROUNDDOWN((9-1)/IF(F56="",5,F56),0)))</f>
        <v/>
      </c>
      <c r="M96" s="75" t="str">
        <f aca="false">IF(L96="","",IF((IF(F64="",IF($D$35="",0,$D$35),F64))=0,0,MAX(0,2690129.94-(IF(F65&lt;&gt;"",F65,IF($D$37&lt;&gt;"",$D$37,IF((IF(F64="",IF($D$35="",0,$D$35),F64))=0,0,F54/(IF(F64="",IF($D$35="",0,$D$35),F64)))))))*(IF(F64="",IF($D$35="",0,$D$35),F64))))</f>
        <v/>
      </c>
      <c r="N96" s="75" t="str">
        <f aca="false">IF(L96="","",L96+M96)</f>
        <v/>
      </c>
      <c r="O96" s="75" t="str">
        <f aca="false">IF(G54="","",IF(9&gt;IF(G57="",10,G57),"",G54*(1+IF(G55="",0,G55))^ROUNDDOWN((9-1)/IF(G56="",5,G56),0)))</f>
        <v/>
      </c>
      <c r="P96" s="75" t="str">
        <f aca="false">IF(O96="","",IF((IF(G64="",IF($D$35="",0,$D$35),G64))=0,0,MAX(0,2690129.94-(IF(G65&lt;&gt;"",G65,IF($D$37&lt;&gt;"",$D$37,IF((IF(G64="",IF($D$35="",0,$D$35),G64))=0,0,G54/(IF(G64="",IF($D$35="",0,$D$35),G64)))))))*(IF(G64="",IF($D$35="",0,$D$35),G64))))</f>
        <v/>
      </c>
      <c r="Q96" s="75" t="str">
        <f aca="false">IF(O96="","",O96+P96)</f>
        <v/>
      </c>
      <c r="R96" s="75" t="str">
        <f aca="false">IF(H54="","",IF(9&gt;IF(H57="",10,H57),"",H54*(1+IF(H55="",0,H55))^ROUNDDOWN((9-1)/IF(H56="",5,H56),0)))</f>
        <v/>
      </c>
      <c r="S96" s="75" t="str">
        <f aca="false">IF(R96="","",IF((IF(H64="",IF($D$35="",0,$D$35),H64))=0,0,MAX(0,2690129.94-(IF(H65&lt;&gt;"",H65,IF($D$37&lt;&gt;"",$D$37,IF((IF(H64="",IF($D$35="",0,$D$35),H64))=0,0,H54/(IF(H64="",IF($D$35="",0,$D$35),H64)))))))*(IF(H64="",IF($D$35="",0,$D$35),H64))))</f>
        <v/>
      </c>
      <c r="T96" s="75" t="str">
        <f aca="false">IF(R96="","",R96+S96)</f>
        <v/>
      </c>
    </row>
    <row r="97" customFormat="false" ht="15" hidden="false" customHeight="false" outlineLevel="0" collapsed="false">
      <c r="A97" s="74" t="n">
        <v>10</v>
      </c>
      <c r="B97" s="75" t="n">
        <v>2743933</v>
      </c>
      <c r="C97" s="76" t="n">
        <v>90602</v>
      </c>
      <c r="D97" s="76" t="n">
        <v>0</v>
      </c>
      <c r="E97" s="76" t="n">
        <v>90602</v>
      </c>
      <c r="F97" s="75" t="n">
        <f aca="false">IF(D54="","",IF(10&gt;IF(D57="",10,D57),"",D54*(1+IF(D55="",0,D55))^ROUNDDOWN((10-1)/IF(D56="",5,D56),0)))</f>
        <v>85568.82</v>
      </c>
      <c r="G97" s="75" t="n">
        <f aca="false">IF(F97="","",IF((IF(D64="",IF($D$35="",0,$D$35),D64))=0,0,MAX(0,2743932.54-(IF(D65&lt;&gt;"",D65,IF($D$37&lt;&gt;"",$D$37,IF((IF(D64="",IF($D$35="",0,$D$35),D64))=0,0,D54/(IF(D64="",IF($D$35="",0,$D$35),D64)))))))*(IF(D64="",IF($D$35="",0,$D$35),D64))))</f>
        <v>0</v>
      </c>
      <c r="H97" s="75" t="n">
        <f aca="false">IF(F97="","",F97+G97)</f>
        <v>85568.82</v>
      </c>
      <c r="I97" s="75" t="str">
        <f aca="false">IF(E54="","",IF(10&gt;IF(E57="",10,E57),"",E54*(1+IF(E55="",0,E55))^ROUNDDOWN((10-1)/IF(E56="",5,E56),0)))</f>
        <v/>
      </c>
      <c r="J97" s="75" t="str">
        <f aca="false">IF(I97="","",IF((IF(E64="",IF($D$35="",0,$D$35),E64))=0,0,MAX(0,2743932.54-(IF(E65&lt;&gt;"",E65,IF($D$37&lt;&gt;"",$D$37,IF((IF(E64="",IF($D$35="",0,$D$35),E64))=0,0,E54/(IF(E64="",IF($D$35="",0,$D$35),E64)))))))*(IF(E64="",IF($D$35="",0,$D$35),E64))))</f>
        <v/>
      </c>
      <c r="K97" s="75" t="str">
        <f aca="false">IF(I97="","",I97+J97)</f>
        <v/>
      </c>
      <c r="L97" s="75" t="str">
        <f aca="false">IF(F54="","",IF(10&gt;IF(F57="",10,F57),"",F54*(1+IF(F55="",0,F55))^ROUNDDOWN((10-1)/IF(F56="",5,F56),0)))</f>
        <v/>
      </c>
      <c r="M97" s="75" t="str">
        <f aca="false">IF(L97="","",IF((IF(F64="",IF($D$35="",0,$D$35),F64))=0,0,MAX(0,2743932.54-(IF(F65&lt;&gt;"",F65,IF($D$37&lt;&gt;"",$D$37,IF((IF(F64="",IF($D$35="",0,$D$35),F64))=0,0,F54/(IF(F64="",IF($D$35="",0,$D$35),F64)))))))*(IF(F64="",IF($D$35="",0,$D$35),F64))))</f>
        <v/>
      </c>
      <c r="N97" s="75" t="str">
        <f aca="false">IF(L97="","",L97+M97)</f>
        <v/>
      </c>
      <c r="O97" s="75" t="str">
        <f aca="false">IF(G54="","",IF(10&gt;IF(G57="",10,G57),"",G54*(1+IF(G55="",0,G55))^ROUNDDOWN((10-1)/IF(G56="",5,G56),0)))</f>
        <v/>
      </c>
      <c r="P97" s="75" t="str">
        <f aca="false">IF(O97="","",IF((IF(G64="",IF($D$35="",0,$D$35),G64))=0,0,MAX(0,2743932.54-(IF(G65&lt;&gt;"",G65,IF($D$37&lt;&gt;"",$D$37,IF((IF(G64="",IF($D$35="",0,$D$35),G64))=0,0,G54/(IF(G64="",IF($D$35="",0,$D$35),G64)))))))*(IF(G64="",IF($D$35="",0,$D$35),G64))))</f>
        <v/>
      </c>
      <c r="Q97" s="75" t="str">
        <f aca="false">IF(O97="","",O97+P97)</f>
        <v/>
      </c>
      <c r="R97" s="75" t="str">
        <f aca="false">IF(H54="","",IF(10&gt;IF(H57="",10,H57),"",H54*(1+IF(H55="",0,H55))^ROUNDDOWN((10-1)/IF(H56="",5,H56),0)))</f>
        <v/>
      </c>
      <c r="S97" s="75" t="str">
        <f aca="false">IF(R97="","",IF((IF(H64="",IF($D$35="",0,$D$35),H64))=0,0,MAX(0,2743932.54-(IF(H65&lt;&gt;"",H65,IF($D$37&lt;&gt;"",$D$37,IF((IF(H64="",IF($D$35="",0,$D$35),H64))=0,0,H54/(IF(H64="",IF($D$35="",0,$D$35),H64)))))))*(IF(H64="",IF($D$35="",0,$D$35),H64))))</f>
        <v/>
      </c>
      <c r="T97" s="75" t="str">
        <f aca="false">IF(R97="","",R97+S97)</f>
        <v/>
      </c>
    </row>
    <row r="98" customFormat="false" ht="15" hidden="false" customHeight="false" outlineLevel="0" collapsed="false">
      <c r="A98" s="74" t="n">
        <v>11</v>
      </c>
      <c r="B98" s="75" t="n">
        <v>2798811</v>
      </c>
      <c r="C98" s="76" t="n">
        <v>97851</v>
      </c>
      <c r="D98" s="76" t="n">
        <v>0</v>
      </c>
      <c r="E98" s="76" t="n">
        <v>97851</v>
      </c>
      <c r="F98" s="75" t="n">
        <f aca="false">IF(D54="","",IF(11&gt;IF(D57="",10,D57),"",D54*(1+IF(D55="",0,D55))^ROUNDDOWN((11-1)/IF(D56="",5,D56),0)))</f>
        <v>87280.1964</v>
      </c>
      <c r="G98" s="75" t="n">
        <f aca="false">IF(F98="","",IF((IF(D64="",IF($D$35="",0,$D$35),D64))=0,0,MAX(0,2798811.19-(IF(D65&lt;&gt;"",D65,IF($D$37&lt;&gt;"",$D$37,IF((IF(D64="",IF($D$35="",0,$D$35),D64))=0,0,D54/(IF(D64="",IF($D$35="",0,$D$35),D64)))))))*(IF(D64="",IF($D$35="",0,$D$35),D64))))</f>
        <v>0</v>
      </c>
      <c r="H98" s="75" t="n">
        <f aca="false">IF(F98="","",F98+G98)</f>
        <v>87280.1964</v>
      </c>
      <c r="I98" s="75" t="str">
        <f aca="false">IF(E54="","",IF(11&gt;IF(E57="",10,E57),"",E54*(1+IF(E55="",0,E55))^ROUNDDOWN((11-1)/IF(E56="",5,E56),0)))</f>
        <v/>
      </c>
      <c r="J98" s="75" t="str">
        <f aca="false">IF(I98="","",IF((IF(E64="",IF($D$35="",0,$D$35),E64))=0,0,MAX(0,2798811.19-(IF(E65&lt;&gt;"",E65,IF($D$37&lt;&gt;"",$D$37,IF((IF(E64="",IF($D$35="",0,$D$35),E64))=0,0,E54/(IF(E64="",IF($D$35="",0,$D$35),E64)))))))*(IF(E64="",IF($D$35="",0,$D$35),E64))))</f>
        <v/>
      </c>
      <c r="K98" s="75" t="str">
        <f aca="false">IF(I98="","",I98+J98)</f>
        <v/>
      </c>
      <c r="L98" s="75" t="str">
        <f aca="false">IF(F54="","",IF(11&gt;IF(F57="",10,F57),"",F54*(1+IF(F55="",0,F55))^ROUNDDOWN((11-1)/IF(F56="",5,F56),0)))</f>
        <v/>
      </c>
      <c r="M98" s="75" t="str">
        <f aca="false">IF(L98="","",IF((IF(F64="",IF($D$35="",0,$D$35),F64))=0,0,MAX(0,2798811.19-(IF(F65&lt;&gt;"",F65,IF($D$37&lt;&gt;"",$D$37,IF((IF(F64="",IF($D$35="",0,$D$35),F64))=0,0,F54/(IF(F64="",IF($D$35="",0,$D$35),F64)))))))*(IF(F64="",IF($D$35="",0,$D$35),F64))))</f>
        <v/>
      </c>
      <c r="N98" s="75" t="str">
        <f aca="false">IF(L98="","",L98+M98)</f>
        <v/>
      </c>
      <c r="O98" s="75" t="str">
        <f aca="false">IF(G54="","",IF(11&gt;IF(G57="",10,G57),"",G54*(1+IF(G55="",0,G55))^ROUNDDOWN((11-1)/IF(G56="",5,G56),0)))</f>
        <v/>
      </c>
      <c r="P98" s="75" t="str">
        <f aca="false">IF(O98="","",IF((IF(G64="",IF($D$35="",0,$D$35),G64))=0,0,MAX(0,2798811.19-(IF(G65&lt;&gt;"",G65,IF($D$37&lt;&gt;"",$D$37,IF((IF(G64="",IF($D$35="",0,$D$35),G64))=0,0,G54/(IF(G64="",IF($D$35="",0,$D$35),G64)))))))*(IF(G64="",IF($D$35="",0,$D$35),G64))))</f>
        <v/>
      </c>
      <c r="Q98" s="75" t="str">
        <f aca="false">IF(O98="","",O98+P98)</f>
        <v/>
      </c>
      <c r="R98" s="75" t="str">
        <f aca="false">IF(H54="","",IF(11&gt;IF(H57="",10,H57),"",H54*(1+IF(H55="",0,H55))^ROUNDDOWN((11-1)/IF(H56="",5,H56),0)))</f>
        <v/>
      </c>
      <c r="S98" s="75" t="str">
        <f aca="false">IF(R98="","",IF((IF(H64="",IF($D$35="",0,$D$35),H64))=0,0,MAX(0,2798811.19-(IF(H65&lt;&gt;"",H65,IF($D$37&lt;&gt;"",$D$37,IF((IF(H64="",IF($D$35="",0,$D$35),H64))=0,0,H54/(IF(H64="",IF($D$35="",0,$D$35),H64)))))))*(IF(H64="",IF($D$35="",0,$D$35),H64))))</f>
        <v/>
      </c>
      <c r="T98" s="75" t="str">
        <f aca="false">IF(R98="","",R98+S98)</f>
        <v/>
      </c>
    </row>
    <row r="99" customFormat="false" ht="15" hidden="false" customHeight="false" outlineLevel="0" collapsed="false">
      <c r="A99" s="74" t="n">
        <v>12</v>
      </c>
      <c r="B99" s="75" t="n">
        <v>2854787</v>
      </c>
      <c r="C99" s="76" t="n">
        <v>97851</v>
      </c>
      <c r="D99" s="76" t="n">
        <v>0</v>
      </c>
      <c r="E99" s="76" t="n">
        <v>97851</v>
      </c>
      <c r="F99" s="75" t="n">
        <f aca="false">IF(D54="","",IF(12&gt;IF(D57="",10,D57),"",D54*(1+IF(D55="",0,D55))^ROUNDDOWN((12-1)/IF(D56="",5,D56),0)))</f>
        <v>87280.1964</v>
      </c>
      <c r="G99" s="75" t="n">
        <f aca="false">IF(F99="","",IF((IF(D64="",IF($D$35="",0,$D$35),D64))=0,0,MAX(0,2854787.41-(IF(D65&lt;&gt;"",D65,IF($D$37&lt;&gt;"",$D$37,IF((IF(D64="",IF($D$35="",0,$D$35),D64))=0,0,D54/(IF(D64="",IF($D$35="",0,$D$35),D64)))))))*(IF(D64="",IF($D$35="",0,$D$35),D64))))</f>
        <v>0</v>
      </c>
      <c r="H99" s="75" t="n">
        <f aca="false">IF(F99="","",F99+G99)</f>
        <v>87280.1964</v>
      </c>
      <c r="I99" s="75" t="str">
        <f aca="false">IF(E54="","",IF(12&gt;IF(E57="",10,E57),"",E54*(1+IF(E55="",0,E55))^ROUNDDOWN((12-1)/IF(E56="",5,E56),0)))</f>
        <v/>
      </c>
      <c r="J99" s="75" t="str">
        <f aca="false">IF(I99="","",IF((IF(E64="",IF($D$35="",0,$D$35),E64))=0,0,MAX(0,2854787.41-(IF(E65&lt;&gt;"",E65,IF($D$37&lt;&gt;"",$D$37,IF((IF(E64="",IF($D$35="",0,$D$35),E64))=0,0,E54/(IF(E64="",IF($D$35="",0,$D$35),E64)))))))*(IF(E64="",IF($D$35="",0,$D$35),E64))))</f>
        <v/>
      </c>
      <c r="K99" s="75" t="str">
        <f aca="false">IF(I99="","",I99+J99)</f>
        <v/>
      </c>
      <c r="L99" s="75" t="str">
        <f aca="false">IF(F54="","",IF(12&gt;IF(F57="",10,F57),"",F54*(1+IF(F55="",0,F55))^ROUNDDOWN((12-1)/IF(F56="",5,F56),0)))</f>
        <v/>
      </c>
      <c r="M99" s="75" t="str">
        <f aca="false">IF(L99="","",IF((IF(F64="",IF($D$35="",0,$D$35),F64))=0,0,MAX(0,2854787.41-(IF(F65&lt;&gt;"",F65,IF($D$37&lt;&gt;"",$D$37,IF((IF(F64="",IF($D$35="",0,$D$35),F64))=0,0,F54/(IF(F64="",IF($D$35="",0,$D$35),F64)))))))*(IF(F64="",IF($D$35="",0,$D$35),F64))))</f>
        <v/>
      </c>
      <c r="N99" s="75" t="str">
        <f aca="false">IF(L99="","",L99+M99)</f>
        <v/>
      </c>
      <c r="O99" s="75" t="str">
        <f aca="false">IF(G54="","",IF(12&gt;IF(G57="",10,G57),"",G54*(1+IF(G55="",0,G55))^ROUNDDOWN((12-1)/IF(G56="",5,G56),0)))</f>
        <v/>
      </c>
      <c r="P99" s="75" t="str">
        <f aca="false">IF(O99="","",IF((IF(G64="",IF($D$35="",0,$D$35),G64))=0,0,MAX(0,2854787.41-(IF(G65&lt;&gt;"",G65,IF($D$37&lt;&gt;"",$D$37,IF((IF(G64="",IF($D$35="",0,$D$35),G64))=0,0,G54/(IF(G64="",IF($D$35="",0,$D$35),G64)))))))*(IF(G64="",IF($D$35="",0,$D$35),G64))))</f>
        <v/>
      </c>
      <c r="Q99" s="75" t="str">
        <f aca="false">IF(O99="","",O99+P99)</f>
        <v/>
      </c>
      <c r="R99" s="75" t="str">
        <f aca="false">IF(H54="","",IF(12&gt;IF(H57="",10,H57),"",H54*(1+IF(H55="",0,H55))^ROUNDDOWN((12-1)/IF(H56="",5,H56),0)))</f>
        <v/>
      </c>
      <c r="S99" s="75" t="str">
        <f aca="false">IF(R99="","",IF((IF(H64="",IF($D$35="",0,$D$35),H64))=0,0,MAX(0,2854787.41-(IF(H65&lt;&gt;"",H65,IF($D$37&lt;&gt;"",$D$37,IF((IF(H64="",IF($D$35="",0,$D$35),H64))=0,0,H54/(IF(H64="",IF($D$35="",0,$D$35),H64)))))))*(IF(H64="",IF($D$35="",0,$D$35),H64))))</f>
        <v/>
      </c>
      <c r="T99" s="75" t="str">
        <f aca="false">IF(R99="","",R99+S99)</f>
        <v/>
      </c>
    </row>
    <row r="100" customFormat="false" ht="15" hidden="false" customHeight="false" outlineLevel="0" collapsed="false">
      <c r="A100" s="74" t="n">
        <v>13</v>
      </c>
      <c r="B100" s="75" t="n">
        <v>2911883</v>
      </c>
      <c r="C100" s="76" t="n">
        <v>97851</v>
      </c>
      <c r="D100" s="76" t="n">
        <v>0</v>
      </c>
      <c r="E100" s="76" t="n">
        <v>97851</v>
      </c>
      <c r="F100" s="75" t="n">
        <f aca="false">IF(D54="","",IF(13&gt;IF(D57="",10,D57),"",D54*(1+IF(D55="",0,D55))^ROUNDDOWN((13-1)/IF(D56="",5,D56),0)))</f>
        <v>87280.1964</v>
      </c>
      <c r="G100" s="75" t="n">
        <f aca="false">IF(F100="","",IF((IF(D64="",IF($D$35="",0,$D$35),D64))=0,0,MAX(0,2911883.16-(IF(D65&lt;&gt;"",D65,IF($D$37&lt;&gt;"",$D$37,IF((IF(D64="",IF($D$35="",0,$D$35),D64))=0,0,D54/(IF(D64="",IF($D$35="",0,$D$35),D64)))))))*(IF(D64="",IF($D$35="",0,$D$35),D64))))</f>
        <v>0</v>
      </c>
      <c r="H100" s="75" t="n">
        <f aca="false">IF(F100="","",F100+G100)</f>
        <v>87280.1964</v>
      </c>
      <c r="I100" s="75" t="str">
        <f aca="false">IF(E54="","",IF(13&gt;IF(E57="",10,E57),"",E54*(1+IF(E55="",0,E55))^ROUNDDOWN((13-1)/IF(E56="",5,E56),0)))</f>
        <v/>
      </c>
      <c r="J100" s="75" t="str">
        <f aca="false">IF(I100="","",IF((IF(E64="",IF($D$35="",0,$D$35),E64))=0,0,MAX(0,2911883.16-(IF(E65&lt;&gt;"",E65,IF($D$37&lt;&gt;"",$D$37,IF((IF(E64="",IF($D$35="",0,$D$35),E64))=0,0,E54/(IF(E64="",IF($D$35="",0,$D$35),E64)))))))*(IF(E64="",IF($D$35="",0,$D$35),E64))))</f>
        <v/>
      </c>
      <c r="K100" s="75" t="str">
        <f aca="false">IF(I100="","",I100+J100)</f>
        <v/>
      </c>
      <c r="L100" s="75" t="str">
        <f aca="false">IF(F54="","",IF(13&gt;IF(F57="",10,F57),"",F54*(1+IF(F55="",0,F55))^ROUNDDOWN((13-1)/IF(F56="",5,F56),0)))</f>
        <v/>
      </c>
      <c r="M100" s="75" t="str">
        <f aca="false">IF(L100="","",IF((IF(F64="",IF($D$35="",0,$D$35),F64))=0,0,MAX(0,2911883.16-(IF(F65&lt;&gt;"",F65,IF($D$37&lt;&gt;"",$D$37,IF((IF(F64="",IF($D$35="",0,$D$35),F64))=0,0,F54/(IF(F64="",IF($D$35="",0,$D$35),F64)))))))*(IF(F64="",IF($D$35="",0,$D$35),F64))))</f>
        <v/>
      </c>
      <c r="N100" s="75" t="str">
        <f aca="false">IF(L100="","",L100+M100)</f>
        <v/>
      </c>
      <c r="O100" s="75" t="str">
        <f aca="false">IF(G54="","",IF(13&gt;IF(G57="",10,G57),"",G54*(1+IF(G55="",0,G55))^ROUNDDOWN((13-1)/IF(G56="",5,G56),0)))</f>
        <v/>
      </c>
      <c r="P100" s="75" t="str">
        <f aca="false">IF(O100="","",IF((IF(G64="",IF($D$35="",0,$D$35),G64))=0,0,MAX(0,2911883.16-(IF(G65&lt;&gt;"",G65,IF($D$37&lt;&gt;"",$D$37,IF((IF(G64="",IF($D$35="",0,$D$35),G64))=0,0,G54/(IF(G64="",IF($D$35="",0,$D$35),G64)))))))*(IF(G64="",IF($D$35="",0,$D$35),G64))))</f>
        <v/>
      </c>
      <c r="Q100" s="75" t="str">
        <f aca="false">IF(O100="","",O100+P100)</f>
        <v/>
      </c>
      <c r="R100" s="75" t="str">
        <f aca="false">IF(H54="","",IF(13&gt;IF(H57="",10,H57),"",H54*(1+IF(H55="",0,H55))^ROUNDDOWN((13-1)/IF(H56="",5,H56),0)))</f>
        <v/>
      </c>
      <c r="S100" s="75" t="str">
        <f aca="false">IF(R100="","",IF((IF(H64="",IF($D$35="",0,$D$35),H64))=0,0,MAX(0,2911883.16-(IF(H65&lt;&gt;"",H65,IF($D$37&lt;&gt;"",$D$37,IF((IF(H64="",IF($D$35="",0,$D$35),H64))=0,0,H54/(IF(H64="",IF($D$35="",0,$D$35),H64)))))))*(IF(H64="",IF($D$35="",0,$D$35),H64))))</f>
        <v/>
      </c>
      <c r="T100" s="75" t="str">
        <f aca="false">IF(R100="","",R100+S100)</f>
        <v/>
      </c>
    </row>
    <row r="101" customFormat="false" ht="15" hidden="false" customHeight="false" outlineLevel="0" collapsed="false">
      <c r="A101" s="74" t="n">
        <v>14</v>
      </c>
      <c r="B101" s="75" t="n">
        <v>2970121</v>
      </c>
      <c r="C101" s="76" t="n">
        <v>97851</v>
      </c>
      <c r="D101" s="76" t="n">
        <v>0</v>
      </c>
      <c r="E101" s="76" t="n">
        <v>97851</v>
      </c>
      <c r="F101" s="75" t="n">
        <f aca="false">IF(D54="","",IF(14&gt;IF(D57="",10,D57),"",D54*(1+IF(D55="",0,D55))^ROUNDDOWN((14-1)/IF(D56="",5,D56),0)))</f>
        <v>87280.1964</v>
      </c>
      <c r="G101" s="75" t="n">
        <f aca="false">IF(F101="","",IF((IF(D64="",IF($D$35="",0,$D$35),D64))=0,0,MAX(0,2970120.82-(IF(D65&lt;&gt;"",D65,IF($D$37&lt;&gt;"",$D$37,IF((IF(D64="",IF($D$35="",0,$D$35),D64))=0,0,D54/(IF(D64="",IF($D$35="",0,$D$35),D64)))))))*(IF(D64="",IF($D$35="",0,$D$35),D64))))</f>
        <v>0</v>
      </c>
      <c r="H101" s="75" t="n">
        <f aca="false">IF(F101="","",F101+G101)</f>
        <v>87280.1964</v>
      </c>
      <c r="I101" s="75" t="str">
        <f aca="false">IF(E54="","",IF(14&gt;IF(E57="",10,E57),"",E54*(1+IF(E55="",0,E55))^ROUNDDOWN((14-1)/IF(E56="",5,E56),0)))</f>
        <v/>
      </c>
      <c r="J101" s="75" t="str">
        <f aca="false">IF(I101="","",IF((IF(E64="",IF($D$35="",0,$D$35),E64))=0,0,MAX(0,2970120.82-(IF(E65&lt;&gt;"",E65,IF($D$37&lt;&gt;"",$D$37,IF((IF(E64="",IF($D$35="",0,$D$35),E64))=0,0,E54/(IF(E64="",IF($D$35="",0,$D$35),E64)))))))*(IF(E64="",IF($D$35="",0,$D$35),E64))))</f>
        <v/>
      </c>
      <c r="K101" s="75" t="str">
        <f aca="false">IF(I101="","",I101+J101)</f>
        <v/>
      </c>
      <c r="L101" s="75" t="str">
        <f aca="false">IF(F54="","",IF(14&gt;IF(F57="",10,F57),"",F54*(1+IF(F55="",0,F55))^ROUNDDOWN((14-1)/IF(F56="",5,F56),0)))</f>
        <v/>
      </c>
      <c r="M101" s="75" t="str">
        <f aca="false">IF(L101="","",IF((IF(F64="",IF($D$35="",0,$D$35),F64))=0,0,MAX(0,2970120.82-(IF(F65&lt;&gt;"",F65,IF($D$37&lt;&gt;"",$D$37,IF((IF(F64="",IF($D$35="",0,$D$35),F64))=0,0,F54/(IF(F64="",IF($D$35="",0,$D$35),F64)))))))*(IF(F64="",IF($D$35="",0,$D$35),F64))))</f>
        <v/>
      </c>
      <c r="N101" s="75" t="str">
        <f aca="false">IF(L101="","",L101+M101)</f>
        <v/>
      </c>
      <c r="O101" s="75" t="str">
        <f aca="false">IF(G54="","",IF(14&gt;IF(G57="",10,G57),"",G54*(1+IF(G55="",0,G55))^ROUNDDOWN((14-1)/IF(G56="",5,G56),0)))</f>
        <v/>
      </c>
      <c r="P101" s="75" t="str">
        <f aca="false">IF(O101="","",IF((IF(G64="",IF($D$35="",0,$D$35),G64))=0,0,MAX(0,2970120.82-(IF(G65&lt;&gt;"",G65,IF($D$37&lt;&gt;"",$D$37,IF((IF(G64="",IF($D$35="",0,$D$35),G64))=0,0,G54/(IF(G64="",IF($D$35="",0,$D$35),G64)))))))*(IF(G64="",IF($D$35="",0,$D$35),G64))))</f>
        <v/>
      </c>
      <c r="Q101" s="75" t="str">
        <f aca="false">IF(O101="","",O101+P101)</f>
        <v/>
      </c>
      <c r="R101" s="75" t="str">
        <f aca="false">IF(H54="","",IF(14&gt;IF(H57="",10,H57),"",H54*(1+IF(H55="",0,H55))^ROUNDDOWN((14-1)/IF(H56="",5,H56),0)))</f>
        <v/>
      </c>
      <c r="S101" s="75" t="str">
        <f aca="false">IF(R101="","",IF((IF(H64="",IF($D$35="",0,$D$35),H64))=0,0,MAX(0,2970120.82-(IF(H65&lt;&gt;"",H65,IF($D$37&lt;&gt;"",$D$37,IF((IF(H64="",IF($D$35="",0,$D$35),H64))=0,0,H54/(IF(H64="",IF($D$35="",0,$D$35),H64)))))))*(IF(H64="",IF($D$35="",0,$D$35),H64))))</f>
        <v/>
      </c>
      <c r="T101" s="75" t="str">
        <f aca="false">IF(R101="","",R101+S101)</f>
        <v/>
      </c>
    </row>
    <row r="102" customFormat="false" ht="15" hidden="false" customHeight="false" outlineLevel="0" collapsed="false">
      <c r="A102" s="74" t="n">
        <v>15</v>
      </c>
      <c r="B102" s="75" t="n">
        <v>3029523</v>
      </c>
      <c r="C102" s="76" t="n">
        <v>97851</v>
      </c>
      <c r="D102" s="76" t="n">
        <v>0</v>
      </c>
      <c r="E102" s="76" t="n">
        <v>97851</v>
      </c>
      <c r="F102" s="75" t="n">
        <f aca="false">IF(D54="","",IF(15&gt;IF(D57="",10,D57),"",D54*(1+IF(D55="",0,D55))^ROUNDDOWN((15-1)/IF(D56="",5,D56),0)))</f>
        <v>87280.1964</v>
      </c>
      <c r="G102" s="75" t="n">
        <f aca="false">IF(F102="","",IF((IF(D64="",IF($D$35="",0,$D$35),D64))=0,0,MAX(0,3029523.24-(IF(D65&lt;&gt;"",D65,IF($D$37&lt;&gt;"",$D$37,IF((IF(D64="",IF($D$35="",0,$D$35),D64))=0,0,D54/(IF(D64="",IF($D$35="",0,$D$35),D64)))))))*(IF(D64="",IF($D$35="",0,$D$35),D64))))</f>
        <v>0</v>
      </c>
      <c r="H102" s="75" t="n">
        <f aca="false">IF(F102="","",F102+G102)</f>
        <v>87280.1964</v>
      </c>
      <c r="I102" s="75" t="str">
        <f aca="false">IF(E54="","",IF(15&gt;IF(E57="",10,E57),"",E54*(1+IF(E55="",0,E55))^ROUNDDOWN((15-1)/IF(E56="",5,E56),0)))</f>
        <v/>
      </c>
      <c r="J102" s="75" t="str">
        <f aca="false">IF(I102="","",IF((IF(E64="",IF($D$35="",0,$D$35),E64))=0,0,MAX(0,3029523.24-(IF(E65&lt;&gt;"",E65,IF($D$37&lt;&gt;"",$D$37,IF((IF(E64="",IF($D$35="",0,$D$35),E64))=0,0,E54/(IF(E64="",IF($D$35="",0,$D$35),E64)))))))*(IF(E64="",IF($D$35="",0,$D$35),E64))))</f>
        <v/>
      </c>
      <c r="K102" s="75" t="str">
        <f aca="false">IF(I102="","",I102+J102)</f>
        <v/>
      </c>
      <c r="L102" s="75" t="str">
        <f aca="false">IF(F54="","",IF(15&gt;IF(F57="",10,F57),"",F54*(1+IF(F55="",0,F55))^ROUNDDOWN((15-1)/IF(F56="",5,F56),0)))</f>
        <v/>
      </c>
      <c r="M102" s="75" t="str">
        <f aca="false">IF(L102="","",IF((IF(F64="",IF($D$35="",0,$D$35),F64))=0,0,MAX(0,3029523.24-(IF(F65&lt;&gt;"",F65,IF($D$37&lt;&gt;"",$D$37,IF((IF(F64="",IF($D$35="",0,$D$35),F64))=0,0,F54/(IF(F64="",IF($D$35="",0,$D$35),F64)))))))*(IF(F64="",IF($D$35="",0,$D$35),F64))))</f>
        <v/>
      </c>
      <c r="N102" s="75" t="str">
        <f aca="false">IF(L102="","",L102+M102)</f>
        <v/>
      </c>
      <c r="O102" s="75" t="str">
        <f aca="false">IF(G54="","",IF(15&gt;IF(G57="",10,G57),"",G54*(1+IF(G55="",0,G55))^ROUNDDOWN((15-1)/IF(G56="",5,G56),0)))</f>
        <v/>
      </c>
      <c r="P102" s="75" t="str">
        <f aca="false">IF(O102="","",IF((IF(G64="",IF($D$35="",0,$D$35),G64))=0,0,MAX(0,3029523.24-(IF(G65&lt;&gt;"",G65,IF($D$37&lt;&gt;"",$D$37,IF((IF(G64="",IF($D$35="",0,$D$35),G64))=0,0,G54/(IF(G64="",IF($D$35="",0,$D$35),G64)))))))*(IF(G64="",IF($D$35="",0,$D$35),G64))))</f>
        <v/>
      </c>
      <c r="Q102" s="75" t="str">
        <f aca="false">IF(O102="","",O102+P102)</f>
        <v/>
      </c>
      <c r="R102" s="75" t="str">
        <f aca="false">IF(H54="","",IF(15&gt;IF(H57="",10,H57),"",H54*(1+IF(H55="",0,H55))^ROUNDDOWN((15-1)/IF(H56="",5,H56),0)))</f>
        <v/>
      </c>
      <c r="S102" s="75" t="str">
        <f aca="false">IF(R102="","",IF((IF(H64="",IF($D$35="",0,$D$35),H64))=0,0,MAX(0,3029523.24-(IF(H65&lt;&gt;"",H65,IF($D$37&lt;&gt;"",$D$37,IF((IF(H64="",IF($D$35="",0,$D$35),H64))=0,0,H54/(IF(H64="",IF($D$35="",0,$D$35),H64)))))))*(IF(H64="",IF($D$35="",0,$D$35),H64))))</f>
        <v/>
      </c>
      <c r="T102" s="75" t="str">
        <f aca="false">IF(R102="","",R102+S102)</f>
        <v/>
      </c>
    </row>
    <row r="103" customFormat="false" ht="15" hidden="false" customHeight="false" outlineLevel="0" collapsed="false">
      <c r="A103" s="74" t="n">
        <v>16</v>
      </c>
      <c r="B103" s="75" t="n">
        <v>3090114</v>
      </c>
      <c r="C103" s="76" t="n">
        <v>105679</v>
      </c>
      <c r="D103" s="76" t="n">
        <v>0</v>
      </c>
      <c r="E103" s="76" t="n">
        <v>105679</v>
      </c>
      <c r="F103" s="75" t="n">
        <f aca="false">IF(D54="","",IF(16&gt;IF(D57="",10,D57),"",D54*(1+IF(D55="",0,D55))^ROUNDDOWN((16-1)/IF(D56="",5,D56),0)))</f>
        <v>89025.800328</v>
      </c>
      <c r="G103" s="75" t="n">
        <f aca="false">IF(F103="","",IF((IF(D64="",IF($D$35="",0,$D$35),D64))=0,0,MAX(0,3090113.7-(IF(D65&lt;&gt;"",D65,IF($D$37&lt;&gt;"",$D$37,IF((IF(D64="",IF($D$35="",0,$D$35),D64))=0,0,D54/(IF(D64="",IF($D$35="",0,$D$35),D64)))))))*(IF(D64="",IF($D$35="",0,$D$35),D64))))</f>
        <v>0</v>
      </c>
      <c r="H103" s="75" t="n">
        <f aca="false">IF(F103="","",F103+G103)</f>
        <v>89025.800328</v>
      </c>
      <c r="I103" s="75" t="str">
        <f aca="false">IF(E54="","",IF(16&gt;IF(E57="",10,E57),"",E54*(1+IF(E55="",0,E55))^ROUNDDOWN((16-1)/IF(E56="",5,E56),0)))</f>
        <v/>
      </c>
      <c r="J103" s="75" t="str">
        <f aca="false">IF(I103="","",IF((IF(E64="",IF($D$35="",0,$D$35),E64))=0,0,MAX(0,3090113.7-(IF(E65&lt;&gt;"",E65,IF($D$37&lt;&gt;"",$D$37,IF((IF(E64="",IF($D$35="",0,$D$35),E64))=0,0,E54/(IF(E64="",IF($D$35="",0,$D$35),E64)))))))*(IF(E64="",IF($D$35="",0,$D$35),E64))))</f>
        <v/>
      </c>
      <c r="K103" s="75" t="str">
        <f aca="false">IF(I103="","",I103+J103)</f>
        <v/>
      </c>
      <c r="L103" s="75" t="str">
        <f aca="false">IF(F54="","",IF(16&gt;IF(F57="",10,F57),"",F54*(1+IF(F55="",0,F55))^ROUNDDOWN((16-1)/IF(F56="",5,F56),0)))</f>
        <v/>
      </c>
      <c r="M103" s="75" t="str">
        <f aca="false">IF(L103="","",IF((IF(F64="",IF($D$35="",0,$D$35),F64))=0,0,MAX(0,3090113.7-(IF(F65&lt;&gt;"",F65,IF($D$37&lt;&gt;"",$D$37,IF((IF(F64="",IF($D$35="",0,$D$35),F64))=0,0,F54/(IF(F64="",IF($D$35="",0,$D$35),F64)))))))*(IF(F64="",IF($D$35="",0,$D$35),F64))))</f>
        <v/>
      </c>
      <c r="N103" s="75" t="str">
        <f aca="false">IF(L103="","",L103+M103)</f>
        <v/>
      </c>
      <c r="O103" s="75" t="str">
        <f aca="false">IF(G54="","",IF(16&gt;IF(G57="",10,G57),"",G54*(1+IF(G55="",0,G55))^ROUNDDOWN((16-1)/IF(G56="",5,G56),0)))</f>
        <v/>
      </c>
      <c r="P103" s="75" t="str">
        <f aca="false">IF(O103="","",IF((IF(G64="",IF($D$35="",0,$D$35),G64))=0,0,MAX(0,3090113.7-(IF(G65&lt;&gt;"",G65,IF($D$37&lt;&gt;"",$D$37,IF((IF(G64="",IF($D$35="",0,$D$35),G64))=0,0,G54/(IF(G64="",IF($D$35="",0,$D$35),G64)))))))*(IF(G64="",IF($D$35="",0,$D$35),G64))))</f>
        <v/>
      </c>
      <c r="Q103" s="75" t="str">
        <f aca="false">IF(O103="","",O103+P103)</f>
        <v/>
      </c>
      <c r="R103" s="75" t="str">
        <f aca="false">IF(H54="","",IF(16&gt;IF(H57="",10,H57),"",H54*(1+IF(H55="",0,H55))^ROUNDDOWN((16-1)/IF(H56="",5,H56),0)))</f>
        <v/>
      </c>
      <c r="S103" s="75" t="str">
        <f aca="false">IF(R103="","",IF((IF(H64="",IF($D$35="",0,$D$35),H64))=0,0,MAX(0,3090113.7-(IF(H65&lt;&gt;"",H65,IF($D$37&lt;&gt;"",$D$37,IF((IF(H64="",IF($D$35="",0,$D$35),H64))=0,0,H54/(IF(H64="",IF($D$35="",0,$D$35),H64)))))))*(IF(H64="",IF($D$35="",0,$D$35),H64))))</f>
        <v/>
      </c>
      <c r="T103" s="75" t="str">
        <f aca="false">IF(R103="","",R103+S103)</f>
        <v/>
      </c>
    </row>
    <row r="104" customFormat="false" ht="15" hidden="false" customHeight="false" outlineLevel="0" collapsed="false">
      <c r="A104" s="74" t="n">
        <v>17</v>
      </c>
      <c r="B104" s="75" t="n">
        <v>3151916</v>
      </c>
      <c r="C104" s="76" t="n">
        <v>105679</v>
      </c>
      <c r="D104" s="76" t="n">
        <v>0</v>
      </c>
      <c r="E104" s="76" t="n">
        <v>105679</v>
      </c>
      <c r="F104" s="75" t="n">
        <f aca="false">IF(D54="","",IF(17&gt;IF(D57="",10,D57),"",D54*(1+IF(D55="",0,D55))^ROUNDDOWN((17-1)/IF(D56="",5,D56),0)))</f>
        <v>89025.800328</v>
      </c>
      <c r="G104" s="75" t="n">
        <f aca="false">IF(F104="","",IF((IF(D64="",IF($D$35="",0,$D$35),D64))=0,0,MAX(0,3151915.98-(IF(D65&lt;&gt;"",D65,IF($D$37&lt;&gt;"",$D$37,IF((IF(D64="",IF($D$35="",0,$D$35),D64))=0,0,D54/(IF(D64="",IF($D$35="",0,$D$35),D64)))))))*(IF(D64="",IF($D$35="",0,$D$35),D64))))</f>
        <v>0</v>
      </c>
      <c r="H104" s="75" t="n">
        <f aca="false">IF(F104="","",F104+G104)</f>
        <v>89025.800328</v>
      </c>
      <c r="I104" s="75" t="str">
        <f aca="false">IF(E54="","",IF(17&gt;IF(E57="",10,E57),"",E54*(1+IF(E55="",0,E55))^ROUNDDOWN((17-1)/IF(E56="",5,E56),0)))</f>
        <v/>
      </c>
      <c r="J104" s="75" t="str">
        <f aca="false">IF(I104="","",IF((IF(E64="",IF($D$35="",0,$D$35),E64))=0,0,MAX(0,3151915.98-(IF(E65&lt;&gt;"",E65,IF($D$37&lt;&gt;"",$D$37,IF((IF(E64="",IF($D$35="",0,$D$35),E64))=0,0,E54/(IF(E64="",IF($D$35="",0,$D$35),E64)))))))*(IF(E64="",IF($D$35="",0,$D$35),E64))))</f>
        <v/>
      </c>
      <c r="K104" s="75" t="str">
        <f aca="false">IF(I104="","",I104+J104)</f>
        <v/>
      </c>
      <c r="L104" s="75" t="str">
        <f aca="false">IF(F54="","",IF(17&gt;IF(F57="",10,F57),"",F54*(1+IF(F55="",0,F55))^ROUNDDOWN((17-1)/IF(F56="",5,F56),0)))</f>
        <v/>
      </c>
      <c r="M104" s="75" t="str">
        <f aca="false">IF(L104="","",IF((IF(F64="",IF($D$35="",0,$D$35),F64))=0,0,MAX(0,3151915.98-(IF(F65&lt;&gt;"",F65,IF($D$37&lt;&gt;"",$D$37,IF((IF(F64="",IF($D$35="",0,$D$35),F64))=0,0,F54/(IF(F64="",IF($D$35="",0,$D$35),F64)))))))*(IF(F64="",IF($D$35="",0,$D$35),F64))))</f>
        <v/>
      </c>
      <c r="N104" s="75" t="str">
        <f aca="false">IF(L104="","",L104+M104)</f>
        <v/>
      </c>
      <c r="O104" s="75" t="str">
        <f aca="false">IF(G54="","",IF(17&gt;IF(G57="",10,G57),"",G54*(1+IF(G55="",0,G55))^ROUNDDOWN((17-1)/IF(G56="",5,G56),0)))</f>
        <v/>
      </c>
      <c r="P104" s="75" t="str">
        <f aca="false">IF(O104="","",IF((IF(G64="",IF($D$35="",0,$D$35),G64))=0,0,MAX(0,3151915.98-(IF(G65&lt;&gt;"",G65,IF($D$37&lt;&gt;"",$D$37,IF((IF(G64="",IF($D$35="",0,$D$35),G64))=0,0,G54/(IF(G64="",IF($D$35="",0,$D$35),G64)))))))*(IF(G64="",IF($D$35="",0,$D$35),G64))))</f>
        <v/>
      </c>
      <c r="Q104" s="75" t="str">
        <f aca="false">IF(O104="","",O104+P104)</f>
        <v/>
      </c>
      <c r="R104" s="75" t="str">
        <f aca="false">IF(H54="","",IF(17&gt;IF(H57="",10,H57),"",H54*(1+IF(H55="",0,H55))^ROUNDDOWN((17-1)/IF(H56="",5,H56),0)))</f>
        <v/>
      </c>
      <c r="S104" s="75" t="str">
        <f aca="false">IF(R104="","",IF((IF(H64="",IF($D$35="",0,$D$35),H64))=0,0,MAX(0,3151915.98-(IF(H65&lt;&gt;"",H65,IF($D$37&lt;&gt;"",$D$37,IF((IF(H64="",IF($D$35="",0,$D$35),H64))=0,0,H54/(IF(H64="",IF($D$35="",0,$D$35),H64)))))))*(IF(H64="",IF($D$35="",0,$D$35),H64))))</f>
        <v/>
      </c>
      <c r="T104" s="75" t="str">
        <f aca="false">IF(R104="","",R104+S104)</f>
        <v/>
      </c>
    </row>
    <row r="105" customFormat="false" ht="15" hidden="false" customHeight="false" outlineLevel="0" collapsed="false">
      <c r="A105" s="74" t="n">
        <v>18</v>
      </c>
      <c r="B105" s="75" t="n">
        <v>3214954</v>
      </c>
      <c r="C105" s="76" t="n">
        <v>105679</v>
      </c>
      <c r="D105" s="76" t="n">
        <v>0</v>
      </c>
      <c r="E105" s="76" t="n">
        <v>105679</v>
      </c>
      <c r="F105" s="75" t="n">
        <f aca="false">IF(D54="","",IF(18&gt;IF(D57="",10,D57),"",D54*(1+IF(D55="",0,D55))^ROUNDDOWN((18-1)/IF(D56="",5,D56),0)))</f>
        <v>89025.800328</v>
      </c>
      <c r="G105" s="75" t="n">
        <f aca="false">IF(F105="","",IF((IF(D64="",IF($D$35="",0,$D$35),D64))=0,0,MAX(0,3214954.3-(IF(D65&lt;&gt;"",D65,IF($D$37&lt;&gt;"",$D$37,IF((IF(D64="",IF($D$35="",0,$D$35),D64))=0,0,D54/(IF(D64="",IF($D$35="",0,$D$35),D64)))))))*(IF(D64="",IF($D$35="",0,$D$35),D64))))</f>
        <v>0</v>
      </c>
      <c r="H105" s="75" t="n">
        <f aca="false">IF(F105="","",F105+G105)</f>
        <v>89025.800328</v>
      </c>
      <c r="I105" s="75" t="str">
        <f aca="false">IF(E54="","",IF(18&gt;IF(E57="",10,E57),"",E54*(1+IF(E55="",0,E55))^ROUNDDOWN((18-1)/IF(E56="",5,E56),0)))</f>
        <v/>
      </c>
      <c r="J105" s="75" t="str">
        <f aca="false">IF(I105="","",IF((IF(E64="",IF($D$35="",0,$D$35),E64))=0,0,MAX(0,3214954.3-(IF(E65&lt;&gt;"",E65,IF($D$37&lt;&gt;"",$D$37,IF((IF(E64="",IF($D$35="",0,$D$35),E64))=0,0,E54/(IF(E64="",IF($D$35="",0,$D$35),E64)))))))*(IF(E64="",IF($D$35="",0,$D$35),E64))))</f>
        <v/>
      </c>
      <c r="K105" s="75" t="str">
        <f aca="false">IF(I105="","",I105+J105)</f>
        <v/>
      </c>
      <c r="L105" s="75" t="str">
        <f aca="false">IF(F54="","",IF(18&gt;IF(F57="",10,F57),"",F54*(1+IF(F55="",0,F55))^ROUNDDOWN((18-1)/IF(F56="",5,F56),0)))</f>
        <v/>
      </c>
      <c r="M105" s="75" t="str">
        <f aca="false">IF(L105="","",IF((IF(F64="",IF($D$35="",0,$D$35),F64))=0,0,MAX(0,3214954.3-(IF(F65&lt;&gt;"",F65,IF($D$37&lt;&gt;"",$D$37,IF((IF(F64="",IF($D$35="",0,$D$35),F64))=0,0,F54/(IF(F64="",IF($D$35="",0,$D$35),F64)))))))*(IF(F64="",IF($D$35="",0,$D$35),F64))))</f>
        <v/>
      </c>
      <c r="N105" s="75" t="str">
        <f aca="false">IF(L105="","",L105+M105)</f>
        <v/>
      </c>
      <c r="O105" s="75" t="str">
        <f aca="false">IF(G54="","",IF(18&gt;IF(G57="",10,G57),"",G54*(1+IF(G55="",0,G55))^ROUNDDOWN((18-1)/IF(G56="",5,G56),0)))</f>
        <v/>
      </c>
      <c r="P105" s="75" t="str">
        <f aca="false">IF(O105="","",IF((IF(G64="",IF($D$35="",0,$D$35),G64))=0,0,MAX(0,3214954.3-(IF(G65&lt;&gt;"",G65,IF($D$37&lt;&gt;"",$D$37,IF((IF(G64="",IF($D$35="",0,$D$35),G64))=0,0,G54/(IF(G64="",IF($D$35="",0,$D$35),G64)))))))*(IF(G64="",IF($D$35="",0,$D$35),G64))))</f>
        <v/>
      </c>
      <c r="Q105" s="75" t="str">
        <f aca="false">IF(O105="","",O105+P105)</f>
        <v/>
      </c>
      <c r="R105" s="75" t="str">
        <f aca="false">IF(H54="","",IF(18&gt;IF(H57="",10,H57),"",H54*(1+IF(H55="",0,H55))^ROUNDDOWN((18-1)/IF(H56="",5,H56),0)))</f>
        <v/>
      </c>
      <c r="S105" s="75" t="str">
        <f aca="false">IF(R105="","",IF((IF(H64="",IF($D$35="",0,$D$35),H64))=0,0,MAX(0,3214954.3-(IF(H65&lt;&gt;"",H65,IF($D$37&lt;&gt;"",$D$37,IF((IF(H64="",IF($D$35="",0,$D$35),H64))=0,0,H54/(IF(H64="",IF($D$35="",0,$D$35),H64)))))))*(IF(H64="",IF($D$35="",0,$D$35),H64))))</f>
        <v/>
      </c>
      <c r="T105" s="75" t="str">
        <f aca="false">IF(R105="","",R105+S105)</f>
        <v/>
      </c>
    </row>
    <row r="106" customFormat="false" ht="15" hidden="false" customHeight="false" outlineLevel="0" collapsed="false">
      <c r="A106" s="74" t="n">
        <v>19</v>
      </c>
      <c r="B106" s="75" t="n">
        <v>3279253</v>
      </c>
      <c r="C106" s="76" t="n">
        <v>105679</v>
      </c>
      <c r="D106" s="76" t="n">
        <v>0</v>
      </c>
      <c r="E106" s="76" t="n">
        <v>105679</v>
      </c>
      <c r="F106" s="75" t="n">
        <f aca="false">IF(D54="","",IF(19&gt;IF(D57="",10,D57),"",D54*(1+IF(D55="",0,D55))^ROUNDDOWN((19-1)/IF(D56="",5,D56),0)))</f>
        <v>89025.800328</v>
      </c>
      <c r="G106" s="75" t="n">
        <f aca="false">IF(F106="","",IF((IF(D64="",IF($D$35="",0,$D$35),D64))=0,0,MAX(0,3279253.38-(IF(D65&lt;&gt;"",D65,IF($D$37&lt;&gt;"",$D$37,IF((IF(D64="",IF($D$35="",0,$D$35),D64))=0,0,D54/(IF(D64="",IF($D$35="",0,$D$35),D64)))))))*(IF(D64="",IF($D$35="",0,$D$35),D64))))</f>
        <v>0</v>
      </c>
      <c r="H106" s="75" t="n">
        <f aca="false">IF(F106="","",F106+G106)</f>
        <v>89025.800328</v>
      </c>
      <c r="I106" s="75" t="str">
        <f aca="false">IF(E54="","",IF(19&gt;IF(E57="",10,E57),"",E54*(1+IF(E55="",0,E55))^ROUNDDOWN((19-1)/IF(E56="",5,E56),0)))</f>
        <v/>
      </c>
      <c r="J106" s="75" t="str">
        <f aca="false">IF(I106="","",IF((IF(E64="",IF($D$35="",0,$D$35),E64))=0,0,MAX(0,3279253.38-(IF(E65&lt;&gt;"",E65,IF($D$37&lt;&gt;"",$D$37,IF((IF(E64="",IF($D$35="",0,$D$35),E64))=0,0,E54/(IF(E64="",IF($D$35="",0,$D$35),E64)))))))*(IF(E64="",IF($D$35="",0,$D$35),E64))))</f>
        <v/>
      </c>
      <c r="K106" s="75" t="str">
        <f aca="false">IF(I106="","",I106+J106)</f>
        <v/>
      </c>
      <c r="L106" s="75" t="str">
        <f aca="false">IF(F54="","",IF(19&gt;IF(F57="",10,F57),"",F54*(1+IF(F55="",0,F55))^ROUNDDOWN((19-1)/IF(F56="",5,F56),0)))</f>
        <v/>
      </c>
      <c r="M106" s="75" t="str">
        <f aca="false">IF(L106="","",IF((IF(F64="",IF($D$35="",0,$D$35),F64))=0,0,MAX(0,3279253.38-(IF(F65&lt;&gt;"",F65,IF($D$37&lt;&gt;"",$D$37,IF((IF(F64="",IF($D$35="",0,$D$35),F64))=0,0,F54/(IF(F64="",IF($D$35="",0,$D$35),F64)))))))*(IF(F64="",IF($D$35="",0,$D$35),F64))))</f>
        <v/>
      </c>
      <c r="N106" s="75" t="str">
        <f aca="false">IF(L106="","",L106+M106)</f>
        <v/>
      </c>
      <c r="O106" s="75" t="str">
        <f aca="false">IF(G54="","",IF(19&gt;IF(G57="",10,G57),"",G54*(1+IF(G55="",0,G55))^ROUNDDOWN((19-1)/IF(G56="",5,G56),0)))</f>
        <v/>
      </c>
      <c r="P106" s="75" t="str">
        <f aca="false">IF(O106="","",IF((IF(G64="",IF($D$35="",0,$D$35),G64))=0,0,MAX(0,3279253.38-(IF(G65&lt;&gt;"",G65,IF($D$37&lt;&gt;"",$D$37,IF((IF(G64="",IF($D$35="",0,$D$35),G64))=0,0,G54/(IF(G64="",IF($D$35="",0,$D$35),G64)))))))*(IF(G64="",IF($D$35="",0,$D$35),G64))))</f>
        <v/>
      </c>
      <c r="Q106" s="75" t="str">
        <f aca="false">IF(O106="","",O106+P106)</f>
        <v/>
      </c>
      <c r="R106" s="75" t="str">
        <f aca="false">IF(H54="","",IF(19&gt;IF(H57="",10,H57),"",H54*(1+IF(H55="",0,H55))^ROUNDDOWN((19-1)/IF(H56="",5,H56),0)))</f>
        <v/>
      </c>
      <c r="S106" s="75" t="str">
        <f aca="false">IF(R106="","",IF((IF(H64="",IF($D$35="",0,$D$35),H64))=0,0,MAX(0,3279253.38-(IF(H65&lt;&gt;"",H65,IF($D$37&lt;&gt;"",$D$37,IF((IF(H64="",IF($D$35="",0,$D$35),H64))=0,0,H54/(IF(H64="",IF($D$35="",0,$D$35),H64)))))))*(IF(H64="",IF($D$35="",0,$D$35),H64))))</f>
        <v/>
      </c>
      <c r="T106" s="75" t="str">
        <f aca="false">IF(R106="","",R106+S106)</f>
        <v/>
      </c>
    </row>
    <row r="107" customFormat="false" ht="15" hidden="false" customHeight="false" outlineLevel="0" collapsed="false">
      <c r="A107" s="74" t="n">
        <v>20</v>
      </c>
      <c r="B107" s="75" t="n">
        <v>3344838</v>
      </c>
      <c r="C107" s="76" t="n">
        <v>105679</v>
      </c>
      <c r="D107" s="76" t="n">
        <v>0</v>
      </c>
      <c r="E107" s="76" t="n">
        <v>105679</v>
      </c>
      <c r="F107" s="75" t="n">
        <f aca="false">IF(D54="","",IF(20&gt;IF(D57="",10,D57),"",D54*(1+IF(D55="",0,D55))^ROUNDDOWN((20-1)/IF(D56="",5,D56),0)))</f>
        <v>89025.800328</v>
      </c>
      <c r="G107" s="75" t="n">
        <f aca="false">IF(F107="","",IF((IF(D64="",IF($D$35="",0,$D$35),D64))=0,0,MAX(0,3344838.45-(IF(D65&lt;&gt;"",D65,IF($D$37&lt;&gt;"",$D$37,IF((IF(D64="",IF($D$35="",0,$D$35),D64))=0,0,D54/(IF(D64="",IF($D$35="",0,$D$35),D64)))))))*(IF(D64="",IF($D$35="",0,$D$35),D64))))</f>
        <v>0</v>
      </c>
      <c r="H107" s="75" t="n">
        <f aca="false">IF(F107="","",F107+G107)</f>
        <v>89025.800328</v>
      </c>
      <c r="I107" s="75" t="str">
        <f aca="false">IF(E54="","",IF(20&gt;IF(E57="",10,E57),"",E54*(1+IF(E55="",0,E55))^ROUNDDOWN((20-1)/IF(E56="",5,E56),0)))</f>
        <v/>
      </c>
      <c r="J107" s="75" t="str">
        <f aca="false">IF(I107="","",IF((IF(E64="",IF($D$35="",0,$D$35),E64))=0,0,MAX(0,3344838.45-(IF(E65&lt;&gt;"",E65,IF($D$37&lt;&gt;"",$D$37,IF((IF(E64="",IF($D$35="",0,$D$35),E64))=0,0,E54/(IF(E64="",IF($D$35="",0,$D$35),E64)))))))*(IF(E64="",IF($D$35="",0,$D$35),E64))))</f>
        <v/>
      </c>
      <c r="K107" s="75" t="str">
        <f aca="false">IF(I107="","",I107+J107)</f>
        <v/>
      </c>
      <c r="L107" s="75" t="str">
        <f aca="false">IF(F54="","",IF(20&gt;IF(F57="",10,F57),"",F54*(1+IF(F55="",0,F55))^ROUNDDOWN((20-1)/IF(F56="",5,F56),0)))</f>
        <v/>
      </c>
      <c r="M107" s="75" t="str">
        <f aca="false">IF(L107="","",IF((IF(F64="",IF($D$35="",0,$D$35),F64))=0,0,MAX(0,3344838.45-(IF(F65&lt;&gt;"",F65,IF($D$37&lt;&gt;"",$D$37,IF((IF(F64="",IF($D$35="",0,$D$35),F64))=0,0,F54/(IF(F64="",IF($D$35="",0,$D$35),F64)))))))*(IF(F64="",IF($D$35="",0,$D$35),F64))))</f>
        <v/>
      </c>
      <c r="N107" s="75" t="str">
        <f aca="false">IF(L107="","",L107+M107)</f>
        <v/>
      </c>
      <c r="O107" s="75" t="str">
        <f aca="false">IF(G54="","",IF(20&gt;IF(G57="",10,G57),"",G54*(1+IF(G55="",0,G55))^ROUNDDOWN((20-1)/IF(G56="",5,G56),0)))</f>
        <v/>
      </c>
      <c r="P107" s="75" t="str">
        <f aca="false">IF(O107="","",IF((IF(G64="",IF($D$35="",0,$D$35),G64))=0,0,MAX(0,3344838.45-(IF(G65&lt;&gt;"",G65,IF($D$37&lt;&gt;"",$D$37,IF((IF(G64="",IF($D$35="",0,$D$35),G64))=0,0,G54/(IF(G64="",IF($D$35="",0,$D$35),G64)))))))*(IF(G64="",IF($D$35="",0,$D$35),G64))))</f>
        <v/>
      </c>
      <c r="Q107" s="75" t="str">
        <f aca="false">IF(O107="","",O107+P107)</f>
        <v/>
      </c>
      <c r="R107" s="75" t="str">
        <f aca="false">IF(H54="","",IF(20&gt;IF(H57="",10,H57),"",H54*(1+IF(H55="",0,H55))^ROUNDDOWN((20-1)/IF(H56="",5,H56),0)))</f>
        <v/>
      </c>
      <c r="S107" s="75" t="str">
        <f aca="false">IF(R107="","",IF((IF(H64="",IF($D$35="",0,$D$35),H64))=0,0,MAX(0,3344838.45-(IF(H65&lt;&gt;"",H65,IF($D$37&lt;&gt;"",$D$37,IF((IF(H64="",IF($D$35="",0,$D$35),H64))=0,0,H54/(IF(H64="",IF($D$35="",0,$D$35),H64)))))))*(IF(H64="",IF($D$35="",0,$D$35),H64))))</f>
        <v/>
      </c>
      <c r="T107" s="75" t="str">
        <f aca="false">IF(R107="","",R107+S107)</f>
        <v/>
      </c>
    </row>
    <row r="108" customFormat="false" ht="15" hidden="false" customHeight="false" outlineLevel="0" collapsed="false">
      <c r="A108" s="77" t="s">
        <v>394</v>
      </c>
      <c r="C108" s="78" t="n">
        <f aca="false">IF(COUNT(C88:C107)=0,"",SUM(C88:C107))</f>
        <v>1890115</v>
      </c>
      <c r="D108" s="78" t="n">
        <f aca="false">IF(COUNT(D88:D107)=0,"",SUM(D88:D107))</f>
        <v>0</v>
      </c>
      <c r="E108" s="78" t="n">
        <f aca="false">IF(COUNT(E88:E107)=0,"",SUM(E88:E107))</f>
        <v>1890115</v>
      </c>
      <c r="F108" s="78" t="n">
        <f aca="false">IF(COUNT(F88:F107)=0,"",SUM(F88:F107))</f>
        <v>1728829.08364</v>
      </c>
      <c r="G108" s="78" t="n">
        <f aca="false">IF(COUNT(G88:G107)=0,"",SUM(G88:G107))</f>
        <v>0</v>
      </c>
      <c r="H108" s="78" t="n">
        <f aca="false">IF(COUNT(H88:H107)=0,"",SUM(H88:H107))</f>
        <v>1728829.08364</v>
      </c>
      <c r="I108" s="78" t="str">
        <f aca="false">IF(COUNT(I88:I107)=0,"",SUM(I88:I107))</f>
        <v/>
      </c>
      <c r="J108" s="78" t="str">
        <f aca="false">IF(COUNT(J88:J107)=0,"",SUM(J88:J107))</f>
        <v/>
      </c>
      <c r="K108" s="78" t="str">
        <f aca="false">IF(COUNT(K88:K107)=0,"",SUM(K88:K107))</f>
        <v/>
      </c>
      <c r="L108" s="78" t="str">
        <f aca="false">IF(COUNT(L88:L107)=0,"",SUM(L88:L107))</f>
        <v/>
      </c>
      <c r="M108" s="78" t="str">
        <f aca="false">IF(COUNT(M88:M107)=0,"",SUM(M88:M107))</f>
        <v/>
      </c>
      <c r="N108" s="78" t="str">
        <f aca="false">IF(COUNT(N88:N107)=0,"",SUM(N88:N107))</f>
        <v/>
      </c>
      <c r="O108" s="78" t="str">
        <f aca="false">IF(COUNT(O88:O107)=0,"",SUM(O88:O107))</f>
        <v/>
      </c>
      <c r="P108" s="78" t="str">
        <f aca="false">IF(COUNT(P88:P107)=0,"",SUM(P88:P107))</f>
        <v/>
      </c>
      <c r="Q108" s="78" t="str">
        <f aca="false">IF(COUNT(Q88:Q107)=0,"",SUM(Q88:Q107))</f>
        <v/>
      </c>
      <c r="R108" s="78" t="str">
        <f aca="false">IF(COUNT(R88:R107)=0,"",SUM(R88:R107))</f>
        <v/>
      </c>
      <c r="S108" s="78" t="str">
        <f aca="false">IF(COUNT(S88:S107)=0,"",SUM(S88:S107))</f>
        <v/>
      </c>
      <c r="T108" s="78" t="str">
        <f aca="false">IF(COUNT(T88:T107)=0,"",SUM(T88:T107))</f>
        <v/>
      </c>
    </row>
    <row r="109" customFormat="false" ht="15" hidden="false" customHeight="false" outlineLevel="0" collapsed="false">
      <c r="A109" s="69" t="s">
        <v>395</v>
      </c>
      <c r="B109" s="69"/>
      <c r="C109" s="69"/>
      <c r="D109" s="69"/>
      <c r="E109" s="69"/>
      <c r="F109" s="69"/>
      <c r="G109" s="69"/>
      <c r="H109" s="69"/>
      <c r="I109" s="69"/>
      <c r="J109" s="69"/>
      <c r="K109" s="69"/>
      <c r="L109" s="69"/>
      <c r="M109" s="69"/>
      <c r="N109" s="69"/>
      <c r="O109" s="69"/>
      <c r="P109" s="69"/>
      <c r="Q109" s="69"/>
      <c r="R109" s="69"/>
      <c r="S109" s="69"/>
      <c r="T109" s="69"/>
    </row>
  </sheetData>
  <mergeCells count="83">
    <mergeCell ref="A2:J2"/>
    <mergeCell ref="A3:J3"/>
    <mergeCell ref="A4:J4"/>
    <mergeCell ref="A5:J5"/>
    <mergeCell ref="A6:J6"/>
    <mergeCell ref="A7:J7"/>
    <mergeCell ref="A8:J8"/>
    <mergeCell ref="A10:C10"/>
    <mergeCell ref="D10:J10"/>
    <mergeCell ref="A11:C11"/>
    <mergeCell ref="D11:J11"/>
    <mergeCell ref="A12:C12"/>
    <mergeCell ref="D12:J12"/>
    <mergeCell ref="A13:C13"/>
    <mergeCell ref="D13:J13"/>
    <mergeCell ref="A14:C14"/>
    <mergeCell ref="D14:J14"/>
    <mergeCell ref="G17:J17"/>
    <mergeCell ref="G18:J18"/>
    <mergeCell ref="G19:J19"/>
    <mergeCell ref="G20:J20"/>
    <mergeCell ref="A21:D21"/>
    <mergeCell ref="A22:J22"/>
    <mergeCell ref="A25:C25"/>
    <mergeCell ref="A26:C26"/>
    <mergeCell ref="E26:J26"/>
    <mergeCell ref="A27:C27"/>
    <mergeCell ref="E27:J27"/>
    <mergeCell ref="A28:C28"/>
    <mergeCell ref="A29:C29"/>
    <mergeCell ref="A30:C30"/>
    <mergeCell ref="E30:J30"/>
    <mergeCell ref="A31:J31"/>
    <mergeCell ref="A32:J32"/>
    <mergeCell ref="A35:C35"/>
    <mergeCell ref="E35:J35"/>
    <mergeCell ref="A36:C36"/>
    <mergeCell ref="E36:J36"/>
    <mergeCell ref="A37:C37"/>
    <mergeCell ref="E37:J37"/>
    <mergeCell ref="A38:C38"/>
    <mergeCell ref="E38:J38"/>
    <mergeCell ref="A39:C39"/>
    <mergeCell ref="A40:C40"/>
    <mergeCell ref="A41:C41"/>
    <mergeCell ref="A42:C42"/>
    <mergeCell ref="A49:G49"/>
    <mergeCell ref="A52:C52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2:C62"/>
    <mergeCell ref="A63:C63"/>
    <mergeCell ref="A64:C64"/>
    <mergeCell ref="A65:C65"/>
    <mergeCell ref="A66:C66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79:J79"/>
    <mergeCell ref="A81:J81"/>
    <mergeCell ref="A85:T85"/>
    <mergeCell ref="C86:E86"/>
    <mergeCell ref="F86:H86"/>
    <mergeCell ref="I86:K86"/>
    <mergeCell ref="L86:N86"/>
    <mergeCell ref="O86:Q86"/>
    <mergeCell ref="R86:T86"/>
    <mergeCell ref="A109:T109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T10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6"/>
    <col collapsed="false" customWidth="true" hidden="false" outlineLevel="0" max="2" min="2" style="0" width="22"/>
    <col collapsed="false" customWidth="true" hidden="false" outlineLevel="0" max="3" min="3" style="0" width="11"/>
    <col collapsed="false" customWidth="true" hidden="false" outlineLevel="0" max="4" min="4" style="0" width="14"/>
    <col collapsed="false" customWidth="true" hidden="false" outlineLevel="0" max="6" min="5" style="0" width="12"/>
    <col collapsed="false" customWidth="true" hidden="false" outlineLevel="0" max="7" min="7" style="0" width="14"/>
    <col collapsed="false" customWidth="true" hidden="false" outlineLevel="0" max="9" min="8" style="0" width="13"/>
    <col collapsed="false" customWidth="true" hidden="false" outlineLevel="0" max="10" min="10" style="0" width="26"/>
  </cols>
  <sheetData>
    <row r="1" customFormat="false" ht="16.15" hidden="false" customHeight="false" outlineLevel="0" collapsed="false">
      <c r="A1" s="3" t="s">
        <v>646</v>
      </c>
    </row>
    <row r="2" customFormat="false" ht="25.5" hidden="false" customHeight="true" outlineLevel="0" collapsed="false">
      <c r="A2" s="12" t="s">
        <v>251</v>
      </c>
      <c r="B2" s="12"/>
      <c r="C2" s="12"/>
      <c r="D2" s="12"/>
      <c r="E2" s="12"/>
      <c r="F2" s="12"/>
      <c r="G2" s="12"/>
      <c r="H2" s="12"/>
      <c r="I2" s="12"/>
      <c r="J2" s="12"/>
    </row>
    <row r="3" customFormat="false" ht="15" hidden="false" customHeight="true" outlineLevel="0" collapsed="false">
      <c r="A3" s="16" t="s">
        <v>647</v>
      </c>
      <c r="B3" s="16"/>
      <c r="C3" s="16"/>
      <c r="D3" s="16"/>
      <c r="E3" s="16"/>
      <c r="F3" s="16"/>
      <c r="G3" s="16"/>
      <c r="H3" s="16"/>
      <c r="I3" s="16"/>
      <c r="J3" s="16"/>
    </row>
    <row r="4" customFormat="false" ht="30" hidden="false" customHeight="true" outlineLevel="0" collapsed="false">
      <c r="A4" s="17" t="s">
        <v>60</v>
      </c>
      <c r="B4" s="17"/>
      <c r="C4" s="17"/>
      <c r="D4" s="17"/>
      <c r="E4" s="17"/>
      <c r="F4" s="17"/>
      <c r="G4" s="17"/>
      <c r="H4" s="17"/>
      <c r="I4" s="17"/>
      <c r="J4" s="17"/>
    </row>
    <row r="5" customFormat="false" ht="15" hidden="false" customHeight="true" outlineLevel="0" collapsed="false">
      <c r="A5" s="18" t="s">
        <v>17</v>
      </c>
      <c r="B5" s="18"/>
      <c r="C5" s="18"/>
      <c r="D5" s="18"/>
      <c r="E5" s="18"/>
      <c r="F5" s="18"/>
      <c r="G5" s="18"/>
      <c r="H5" s="18"/>
      <c r="I5" s="18"/>
      <c r="J5" s="18"/>
    </row>
    <row r="6" customFormat="false" ht="15" hidden="false" customHeight="true" outlineLevel="0" collapsed="false">
      <c r="A6" s="19" t="s">
        <v>61</v>
      </c>
      <c r="B6" s="19"/>
      <c r="C6" s="19"/>
      <c r="D6" s="19"/>
      <c r="E6" s="19"/>
      <c r="F6" s="19"/>
      <c r="G6" s="19"/>
      <c r="H6" s="19"/>
      <c r="I6" s="19"/>
      <c r="J6" s="19"/>
    </row>
    <row r="7" customFormat="false" ht="23.85" hidden="false" customHeight="true" outlineLevel="0" collapsed="false">
      <c r="A7" s="20" t="s">
        <v>648</v>
      </c>
      <c r="B7" s="20"/>
      <c r="C7" s="20"/>
      <c r="D7" s="20"/>
      <c r="E7" s="20"/>
      <c r="F7" s="20"/>
      <c r="G7" s="20"/>
      <c r="H7" s="20"/>
      <c r="I7" s="20"/>
      <c r="J7" s="20"/>
    </row>
    <row r="8" customFormat="false" ht="15" hidden="false" customHeight="true" outlineLevel="0" collapsed="false">
      <c r="A8" s="21" t="s">
        <v>254</v>
      </c>
      <c r="B8" s="21"/>
      <c r="C8" s="21"/>
      <c r="D8" s="21"/>
      <c r="E8" s="21"/>
      <c r="F8" s="21"/>
      <c r="G8" s="21"/>
      <c r="H8" s="21"/>
      <c r="I8" s="21"/>
      <c r="J8" s="21"/>
    </row>
    <row r="10" customFormat="false" ht="15" hidden="false" customHeight="true" outlineLevel="0" collapsed="false">
      <c r="A10" s="22" t="s">
        <v>255</v>
      </c>
      <c r="B10" s="22"/>
      <c r="C10" s="22"/>
      <c r="D10" s="23" t="s">
        <v>649</v>
      </c>
      <c r="E10" s="23"/>
      <c r="F10" s="23"/>
      <c r="G10" s="23"/>
      <c r="H10" s="23"/>
      <c r="I10" s="23"/>
      <c r="J10" s="23"/>
    </row>
    <row r="11" customFormat="false" ht="15" hidden="false" customHeight="true" outlineLevel="0" collapsed="false">
      <c r="A11" s="22" t="s">
        <v>257</v>
      </c>
      <c r="B11" s="22"/>
      <c r="C11" s="22"/>
      <c r="D11" s="23" t="s">
        <v>650</v>
      </c>
      <c r="E11" s="23"/>
      <c r="F11" s="23"/>
      <c r="G11" s="23"/>
      <c r="H11" s="23"/>
      <c r="I11" s="23"/>
      <c r="J11" s="23"/>
    </row>
    <row r="12" customFormat="false" ht="15" hidden="false" customHeight="true" outlineLevel="0" collapsed="false">
      <c r="A12" s="22" t="s">
        <v>259</v>
      </c>
      <c r="B12" s="22"/>
      <c r="C12" s="22"/>
      <c r="D12" s="86"/>
      <c r="E12" s="86"/>
      <c r="F12" s="86"/>
      <c r="G12" s="86"/>
      <c r="H12" s="86"/>
      <c r="I12" s="86"/>
      <c r="J12" s="86"/>
    </row>
    <row r="13" customFormat="false" ht="15" hidden="false" customHeight="true" outlineLevel="0" collapsed="false">
      <c r="A13" s="22" t="s">
        <v>261</v>
      </c>
      <c r="B13" s="22"/>
      <c r="C13" s="22"/>
      <c r="D13" s="24" t="n">
        <v>2032000</v>
      </c>
      <c r="E13" s="24"/>
      <c r="F13" s="24"/>
      <c r="G13" s="24"/>
      <c r="H13" s="24"/>
      <c r="I13" s="24"/>
      <c r="J13" s="24"/>
    </row>
    <row r="14" customFormat="false" ht="23.85" hidden="false" customHeight="true" outlineLevel="0" collapsed="false">
      <c r="A14" s="22" t="s">
        <v>262</v>
      </c>
      <c r="B14" s="22"/>
      <c r="C14" s="22"/>
      <c r="D14" s="22" t="s">
        <v>651</v>
      </c>
      <c r="E14" s="22"/>
      <c r="F14" s="22"/>
      <c r="G14" s="22"/>
      <c r="H14" s="22"/>
      <c r="I14" s="22"/>
      <c r="J14" s="22"/>
    </row>
    <row r="16" customFormat="false" ht="15" hidden="false" customHeight="false" outlineLevel="0" collapsed="false">
      <c r="A16" s="25" t="s">
        <v>264</v>
      </c>
    </row>
    <row r="17" customFormat="false" ht="22.35" hidden="false" customHeight="true" outlineLevel="0" collapsed="false">
      <c r="A17" s="26" t="s">
        <v>265</v>
      </c>
      <c r="B17" s="26" t="s">
        <v>266</v>
      </c>
      <c r="C17" s="26" t="s">
        <v>267</v>
      </c>
      <c r="D17" s="26" t="s">
        <v>268</v>
      </c>
      <c r="E17" s="26" t="s">
        <v>269</v>
      </c>
      <c r="F17" s="26" t="s">
        <v>270</v>
      </c>
      <c r="G17" s="26" t="s">
        <v>271</v>
      </c>
      <c r="H17" s="26"/>
      <c r="I17" s="26"/>
      <c r="J17" s="26"/>
    </row>
    <row r="18" customFormat="false" ht="23.85" hidden="false" customHeight="true" outlineLevel="0" collapsed="false">
      <c r="A18" s="27" t="s">
        <v>652</v>
      </c>
      <c r="B18" s="28" t="s">
        <v>404</v>
      </c>
      <c r="C18" s="28" t="s">
        <v>653</v>
      </c>
      <c r="D18" s="29" t="n">
        <v>8746.44</v>
      </c>
      <c r="E18" s="30" t="n">
        <f aca="false">IF(D18="","",D18*12)</f>
        <v>104957.28</v>
      </c>
      <c r="F18" s="31" t="n">
        <v>4.4</v>
      </c>
      <c r="G18" s="32" t="s">
        <v>654</v>
      </c>
      <c r="H18" s="32"/>
      <c r="I18" s="32"/>
      <c r="J18" s="32"/>
    </row>
    <row r="19" customFormat="false" ht="15" hidden="false" customHeight="true" outlineLevel="0" collapsed="false">
      <c r="A19" s="27" t="s">
        <v>655</v>
      </c>
      <c r="B19" s="28" t="s">
        <v>656</v>
      </c>
      <c r="C19" s="28" t="s">
        <v>657</v>
      </c>
      <c r="D19" s="80" t="n">
        <v>9528.9</v>
      </c>
      <c r="E19" s="30" t="n">
        <f aca="false">IF(D19="","",D19*12)</f>
        <v>114346.8</v>
      </c>
      <c r="F19" s="31" t="n">
        <v>5</v>
      </c>
      <c r="G19" s="32" t="s">
        <v>658</v>
      </c>
      <c r="H19" s="32"/>
      <c r="I19" s="32"/>
      <c r="J19" s="32"/>
    </row>
    <row r="20" customFormat="false" ht="23.85" hidden="false" customHeight="true" outlineLevel="0" collapsed="false">
      <c r="A20" s="27" t="s">
        <v>659</v>
      </c>
      <c r="B20" s="28" t="s">
        <v>444</v>
      </c>
      <c r="C20" s="28" t="s">
        <v>444</v>
      </c>
      <c r="D20" s="33"/>
      <c r="E20" s="30" t="str">
        <f aca="false">IF(D20="","",D20*12)</f>
        <v/>
      </c>
      <c r="F20" s="31" t="n">
        <v>0.6</v>
      </c>
      <c r="G20" s="32" t="s">
        <v>660</v>
      </c>
      <c r="H20" s="32"/>
      <c r="I20" s="32"/>
      <c r="J20" s="32"/>
    </row>
    <row r="21" customFormat="false" ht="15" hidden="false" customHeight="false" outlineLevel="0" collapsed="false">
      <c r="A21" s="34" t="s">
        <v>284</v>
      </c>
      <c r="B21" s="34"/>
      <c r="C21" s="34"/>
      <c r="D21" s="34"/>
      <c r="E21" s="35" t="n">
        <f aca="false">IF(SUMPRODUCT(E18:E20,F18:F20)=0,"",SUMPRODUCT(E18:E20,F18:F20))</f>
        <v>1033546.032</v>
      </c>
      <c r="F21" s="36"/>
      <c r="G21" s="36"/>
      <c r="H21" s="36"/>
      <c r="I21" s="36"/>
      <c r="J21" s="36"/>
    </row>
    <row r="22" customFormat="false" ht="15" hidden="false" customHeight="false" outlineLevel="0" collapsed="false">
      <c r="A22" s="81" t="s">
        <v>483</v>
      </c>
      <c r="B22" s="81"/>
      <c r="C22" s="81"/>
      <c r="D22" s="81"/>
      <c r="E22" s="81"/>
      <c r="F22" s="81"/>
      <c r="G22" s="81"/>
      <c r="H22" s="81"/>
      <c r="I22" s="81"/>
      <c r="J22" s="81"/>
    </row>
    <row r="24" customFormat="false" ht="15" hidden="false" customHeight="false" outlineLevel="0" collapsed="false">
      <c r="A24" s="25" t="s">
        <v>286</v>
      </c>
    </row>
    <row r="25" customFormat="false" ht="15" hidden="false" customHeight="true" outlineLevel="0" collapsed="false">
      <c r="A25" s="22" t="s">
        <v>287</v>
      </c>
      <c r="B25" s="22"/>
      <c r="C25" s="22"/>
      <c r="D25" s="35" t="n">
        <v>104957.28</v>
      </c>
      <c r="E25" s="36"/>
      <c r="F25" s="36"/>
      <c r="G25" s="36"/>
      <c r="H25" s="36"/>
      <c r="I25" s="36"/>
      <c r="J25" s="36"/>
    </row>
    <row r="26" customFormat="false" ht="15" hidden="false" customHeight="true" outlineLevel="0" collapsed="false">
      <c r="A26" s="22" t="s">
        <v>288</v>
      </c>
      <c r="B26" s="22"/>
      <c r="C26" s="22"/>
      <c r="D26" s="38" t="n">
        <v>0.0516522047244095</v>
      </c>
      <c r="E26" s="39" t="s">
        <v>289</v>
      </c>
      <c r="F26" s="39"/>
      <c r="G26" s="39"/>
      <c r="H26" s="39"/>
      <c r="I26" s="39"/>
      <c r="J26" s="39"/>
    </row>
    <row r="27" customFormat="false" ht="23.85" hidden="false" customHeight="true" outlineLevel="0" collapsed="false">
      <c r="A27" s="22" t="s">
        <v>661</v>
      </c>
      <c r="B27" s="22"/>
      <c r="C27" s="22"/>
      <c r="D27" s="35" t="n">
        <v>54279.96</v>
      </c>
      <c r="E27" s="39" t="s">
        <v>291</v>
      </c>
      <c r="F27" s="39"/>
      <c r="G27" s="39"/>
      <c r="H27" s="39"/>
      <c r="I27" s="39"/>
      <c r="J27" s="39"/>
    </row>
    <row r="28" customFormat="false" ht="15" hidden="false" customHeight="true" outlineLevel="0" collapsed="false">
      <c r="A28" s="22" t="s">
        <v>292</v>
      </c>
      <c r="B28" s="22"/>
      <c r="C28" s="22"/>
      <c r="D28" s="35" t="n">
        <v>0</v>
      </c>
      <c r="E28" s="36"/>
      <c r="F28" s="36"/>
      <c r="G28" s="36"/>
      <c r="H28" s="36"/>
      <c r="I28" s="36"/>
      <c r="J28" s="36"/>
    </row>
    <row r="29" customFormat="false" ht="15" hidden="false" customHeight="true" outlineLevel="0" collapsed="false">
      <c r="A29" s="22" t="s">
        <v>293</v>
      </c>
      <c r="B29" s="22"/>
      <c r="C29" s="22"/>
      <c r="D29" s="35" t="n">
        <v>159237.24</v>
      </c>
      <c r="E29" s="36"/>
      <c r="F29" s="36"/>
      <c r="G29" s="36"/>
      <c r="H29" s="36"/>
      <c r="I29" s="36"/>
      <c r="J29" s="36"/>
    </row>
    <row r="30" customFormat="false" ht="15" hidden="false" customHeight="true" outlineLevel="0" collapsed="false">
      <c r="A30" s="22" t="s">
        <v>294</v>
      </c>
      <c r="B30" s="22"/>
      <c r="C30" s="22"/>
      <c r="D30" s="84" t="n">
        <v>0.0783647834645669</v>
      </c>
      <c r="E30" s="39" t="s">
        <v>295</v>
      </c>
      <c r="F30" s="39"/>
      <c r="G30" s="39"/>
      <c r="H30" s="39"/>
      <c r="I30" s="39"/>
      <c r="J30" s="39"/>
    </row>
    <row r="31" customFormat="false" ht="27.75" hidden="false" customHeight="true" outlineLevel="0" collapsed="false">
      <c r="A31" s="40" t="s">
        <v>662</v>
      </c>
      <c r="B31" s="40"/>
      <c r="C31" s="40"/>
      <c r="D31" s="40"/>
      <c r="E31" s="40"/>
      <c r="F31" s="40"/>
      <c r="G31" s="40"/>
      <c r="H31" s="40"/>
      <c r="I31" s="40"/>
      <c r="J31" s="40"/>
    </row>
    <row r="32" customFormat="false" ht="15" hidden="false" customHeight="false" outlineLevel="0" collapsed="false">
      <c r="A32" s="85" t="s">
        <v>663</v>
      </c>
      <c r="B32" s="85"/>
      <c r="C32" s="85"/>
      <c r="D32" s="85"/>
      <c r="E32" s="85"/>
      <c r="F32" s="85"/>
      <c r="G32" s="85"/>
      <c r="H32" s="85"/>
      <c r="I32" s="85"/>
      <c r="J32" s="85"/>
    </row>
    <row r="34" customFormat="false" ht="15" hidden="false" customHeight="false" outlineLevel="0" collapsed="false">
      <c r="A34" s="25" t="s">
        <v>298</v>
      </c>
    </row>
    <row r="35" customFormat="false" ht="15" hidden="false" customHeight="true" outlineLevel="0" collapsed="false">
      <c r="A35" s="22" t="s">
        <v>299</v>
      </c>
      <c r="B35" s="22"/>
      <c r="C35" s="22"/>
      <c r="D35" s="42" t="n">
        <v>0</v>
      </c>
      <c r="E35" s="43" t="s">
        <v>300</v>
      </c>
      <c r="F35" s="43"/>
      <c r="G35" s="43"/>
      <c r="H35" s="43"/>
      <c r="I35" s="43"/>
      <c r="J35" s="43"/>
    </row>
    <row r="36" customFormat="false" ht="15" hidden="false" customHeight="true" outlineLevel="0" collapsed="false">
      <c r="A36" s="22" t="s">
        <v>301</v>
      </c>
      <c r="B36" s="22"/>
      <c r="C36" s="22"/>
      <c r="D36" s="34" t="s">
        <v>302</v>
      </c>
      <c r="E36" s="43" t="s">
        <v>303</v>
      </c>
      <c r="F36" s="43"/>
      <c r="G36" s="43"/>
      <c r="H36" s="43"/>
      <c r="I36" s="43"/>
      <c r="J36" s="43"/>
    </row>
    <row r="37" customFormat="false" ht="15" hidden="false" customHeight="true" outlineLevel="0" collapsed="false">
      <c r="A37" s="22" t="s">
        <v>304</v>
      </c>
      <c r="B37" s="22"/>
      <c r="C37" s="22"/>
      <c r="D37" s="44"/>
      <c r="E37" s="43" t="s">
        <v>305</v>
      </c>
      <c r="F37" s="43"/>
      <c r="G37" s="43"/>
      <c r="H37" s="43"/>
      <c r="I37" s="43"/>
      <c r="J37" s="43"/>
    </row>
    <row r="38" customFormat="false" ht="23.85" hidden="false" customHeight="true" outlineLevel="0" collapsed="false">
      <c r="A38" s="22" t="s">
        <v>306</v>
      </c>
      <c r="B38" s="22"/>
      <c r="C38" s="22"/>
      <c r="D38" s="45" t="str">
        <f aca="false">IF(OR($D$35="",E18=""),"",IF($D$35=0,"— (no % rent)",E18/$D$35))</f>
        <v>— (no % rent)</v>
      </c>
      <c r="E38" s="43" t="s">
        <v>307</v>
      </c>
      <c r="F38" s="43"/>
      <c r="G38" s="43"/>
      <c r="H38" s="43"/>
      <c r="I38" s="43"/>
      <c r="J38" s="43"/>
    </row>
    <row r="39" customFormat="false" ht="23.85" hidden="false" customHeight="true" outlineLevel="0" collapsed="false">
      <c r="A39" s="22" t="s">
        <v>308</v>
      </c>
      <c r="B39" s="22"/>
      <c r="C39" s="22"/>
      <c r="D39" s="45" t="str">
        <f aca="false">IF($D$35="","",IF($D$35=0,"— (no % rent)",IF($D$37&lt;&gt;"",$D$37,IF(E18="","",E18/$D$35))))</f>
        <v>— (no % rent)</v>
      </c>
      <c r="E39" s="36"/>
      <c r="F39" s="36"/>
      <c r="G39" s="36"/>
      <c r="H39" s="36"/>
      <c r="I39" s="36"/>
      <c r="J39" s="36"/>
    </row>
    <row r="40" customFormat="false" ht="15" hidden="false" customHeight="true" outlineLevel="0" collapsed="false">
      <c r="A40" s="22" t="s">
        <v>309</v>
      </c>
      <c r="B40" s="22"/>
      <c r="C40" s="22"/>
      <c r="D40" s="45" t="n">
        <f aca="false">IF(OR($D$35="",D13=""),"",IF($D$35=0,0,IF($D$39="","",MAX(0,D13-$D$39)*$D$35)))</f>
        <v>0</v>
      </c>
      <c r="E40" s="36"/>
      <c r="F40" s="36"/>
      <c r="G40" s="36"/>
      <c r="H40" s="36"/>
      <c r="I40" s="36"/>
      <c r="J40" s="36"/>
    </row>
    <row r="41" customFormat="false" ht="15" hidden="false" customHeight="true" outlineLevel="0" collapsed="false">
      <c r="A41" s="22" t="s">
        <v>310</v>
      </c>
      <c r="B41" s="22"/>
      <c r="C41" s="22"/>
      <c r="D41" s="45" t="n">
        <f aca="false">IF(OR(D40="",E18=""),"",E18+D40)</f>
        <v>104957.28</v>
      </c>
      <c r="E41" s="36"/>
      <c r="F41" s="36"/>
      <c r="G41" s="36"/>
      <c r="H41" s="36"/>
      <c r="I41" s="36"/>
      <c r="J41" s="36"/>
    </row>
    <row r="42" customFormat="false" ht="15" hidden="false" customHeight="true" outlineLevel="0" collapsed="false">
      <c r="A42" s="22" t="s">
        <v>311</v>
      </c>
      <c r="B42" s="22"/>
      <c r="C42" s="22"/>
      <c r="D42" s="46" t="n">
        <f aca="false">IF(OR(D41="",D13=""),"",D41/D13)</f>
        <v>0.0516522047244095</v>
      </c>
      <c r="E42" s="36"/>
      <c r="F42" s="36"/>
      <c r="G42" s="36"/>
      <c r="H42" s="36"/>
      <c r="I42" s="36"/>
      <c r="J42" s="36"/>
    </row>
    <row r="44" customFormat="false" ht="15" hidden="false" customHeight="false" outlineLevel="0" collapsed="false">
      <c r="A44" s="25" t="s">
        <v>312</v>
      </c>
    </row>
    <row r="45" customFormat="false" ht="22.35" hidden="false" customHeight="false" outlineLevel="0" collapsed="false">
      <c r="A45" s="26" t="s">
        <v>313</v>
      </c>
      <c r="B45" s="26" t="s">
        <v>314</v>
      </c>
      <c r="C45" s="26" t="s">
        <v>315</v>
      </c>
      <c r="D45" s="26" t="s">
        <v>316</v>
      </c>
      <c r="E45" s="26" t="s">
        <v>317</v>
      </c>
      <c r="F45" s="26" t="s">
        <v>318</v>
      </c>
      <c r="G45" s="26" t="s">
        <v>319</v>
      </c>
      <c r="H45" s="26" t="s">
        <v>269</v>
      </c>
      <c r="I45" s="26" t="s">
        <v>320</v>
      </c>
      <c r="J45" s="26" t="s">
        <v>321</v>
      </c>
    </row>
    <row r="46" customFormat="false" ht="22.35" hidden="false" customHeight="false" outlineLevel="0" collapsed="false">
      <c r="A46" s="47" t="s">
        <v>322</v>
      </c>
      <c r="B46" s="47" t="s">
        <v>323</v>
      </c>
      <c r="C46" s="47" t="s">
        <v>324</v>
      </c>
      <c r="D46" s="47" t="s">
        <v>325</v>
      </c>
      <c r="E46" s="48"/>
      <c r="F46" s="47" t="s">
        <v>326</v>
      </c>
      <c r="G46" s="47" t="s">
        <v>327</v>
      </c>
      <c r="H46" s="49" t="n">
        <v>209376</v>
      </c>
      <c r="I46" s="50" t="s">
        <v>328</v>
      </c>
      <c r="J46" s="47" t="s">
        <v>664</v>
      </c>
    </row>
    <row r="47" customFormat="false" ht="22.35" hidden="false" customHeight="false" outlineLevel="0" collapsed="false">
      <c r="A47" s="47" t="s">
        <v>330</v>
      </c>
      <c r="B47" s="47" t="s">
        <v>331</v>
      </c>
      <c r="C47" s="47" t="s">
        <v>158</v>
      </c>
      <c r="D47" s="47" t="s">
        <v>665</v>
      </c>
      <c r="E47" s="48"/>
      <c r="F47" s="47" t="s">
        <v>333</v>
      </c>
      <c r="G47" s="47" t="s">
        <v>327</v>
      </c>
      <c r="H47" s="49" t="n">
        <v>185000</v>
      </c>
      <c r="I47" s="47" t="s">
        <v>334</v>
      </c>
      <c r="J47" s="47" t="s">
        <v>666</v>
      </c>
    </row>
    <row r="48" customFormat="false" ht="22.35" hidden="false" customHeight="false" outlineLevel="0" collapsed="false">
      <c r="A48" s="47" t="s">
        <v>667</v>
      </c>
      <c r="B48" s="47" t="s">
        <v>668</v>
      </c>
      <c r="C48" s="47" t="s">
        <v>669</v>
      </c>
      <c r="D48" s="47" t="s">
        <v>670</v>
      </c>
      <c r="E48" s="48"/>
      <c r="F48" s="47" t="s">
        <v>453</v>
      </c>
      <c r="G48" s="47" t="s">
        <v>327</v>
      </c>
      <c r="H48" s="49" t="n">
        <v>138456</v>
      </c>
      <c r="I48" s="47" t="s">
        <v>334</v>
      </c>
      <c r="J48" s="47" t="s">
        <v>671</v>
      </c>
    </row>
    <row r="49" customFormat="false" ht="15" hidden="false" customHeight="false" outlineLevel="0" collapsed="false">
      <c r="A49" s="52" t="s">
        <v>344</v>
      </c>
      <c r="B49" s="52"/>
      <c r="C49" s="52"/>
      <c r="D49" s="52"/>
      <c r="E49" s="52"/>
      <c r="F49" s="52"/>
      <c r="G49" s="52"/>
      <c r="H49" s="53" t="n">
        <f aca="false">IF(COUNT(H46:H48)=0,"",AVERAGE(H46:H48))</f>
        <v>177610.666666667</v>
      </c>
      <c r="I49" s="52" t="str">
        <f aca="false">IF(COUNT(H46:H48)=0,"",TEXT(MIN(H46:H48),"$#,##0")&amp;" – "&amp;TEXT(MAX(H46:H48),"$#,##0"))</f>
        <v>$138,456 – $209,376</v>
      </c>
      <c r="J49" s="36"/>
    </row>
    <row r="51" customFormat="false" ht="15" hidden="false" customHeight="false" outlineLevel="0" collapsed="false">
      <c r="A51" s="25" t="s">
        <v>345</v>
      </c>
    </row>
    <row r="52" customFormat="false" ht="53.7" hidden="false" customHeight="true" outlineLevel="0" collapsed="false">
      <c r="A52" s="26" t="s">
        <v>346</v>
      </c>
      <c r="B52" s="26"/>
      <c r="C52" s="26"/>
      <c r="D52" s="26" t="s">
        <v>347</v>
      </c>
      <c r="E52" s="26" t="s">
        <v>348</v>
      </c>
      <c r="F52" s="26" t="s">
        <v>349</v>
      </c>
      <c r="G52" s="26" t="s">
        <v>350</v>
      </c>
      <c r="H52" s="54" t="s">
        <v>351</v>
      </c>
    </row>
    <row r="53" customFormat="false" ht="68.65" hidden="false" customHeight="true" outlineLevel="0" collapsed="false">
      <c r="A53" s="22" t="s">
        <v>352</v>
      </c>
      <c r="B53" s="22"/>
      <c r="C53" s="22"/>
      <c r="D53" s="55" t="s">
        <v>353</v>
      </c>
      <c r="E53" s="56"/>
      <c r="F53" s="56"/>
      <c r="G53" s="56"/>
      <c r="H53" s="56"/>
    </row>
    <row r="54" customFormat="false" ht="15" hidden="false" customHeight="true" outlineLevel="0" collapsed="false">
      <c r="A54" s="22" t="s">
        <v>354</v>
      </c>
      <c r="B54" s="22"/>
      <c r="C54" s="22"/>
      <c r="D54" s="57" t="n">
        <v>104957</v>
      </c>
      <c r="E54" s="57"/>
      <c r="F54" s="57"/>
      <c r="G54" s="57"/>
      <c r="H54" s="57"/>
    </row>
    <row r="55" customFormat="false" ht="15" hidden="false" customHeight="true" outlineLevel="0" collapsed="false">
      <c r="A55" s="22" t="s">
        <v>355</v>
      </c>
      <c r="B55" s="22"/>
      <c r="C55" s="22"/>
      <c r="D55" s="82" t="n">
        <v>0.02</v>
      </c>
      <c r="E55" s="58"/>
      <c r="F55" s="58"/>
      <c r="G55" s="58"/>
      <c r="H55" s="58"/>
    </row>
    <row r="56" customFormat="false" ht="15" hidden="false" customHeight="true" outlineLevel="0" collapsed="false">
      <c r="A56" s="22" t="s">
        <v>356</v>
      </c>
      <c r="B56" s="22"/>
      <c r="C56" s="22"/>
      <c r="D56" s="56" t="n">
        <v>5</v>
      </c>
      <c r="E56" s="56"/>
      <c r="F56" s="56"/>
      <c r="G56" s="56"/>
      <c r="H56" s="56"/>
    </row>
    <row r="57" customFormat="false" ht="15" hidden="false" customHeight="true" outlineLevel="0" collapsed="false">
      <c r="A57" s="22" t="s">
        <v>357</v>
      </c>
      <c r="B57" s="22"/>
      <c r="C57" s="22"/>
      <c r="D57" s="59" t="n">
        <v>20</v>
      </c>
      <c r="E57" s="59"/>
      <c r="F57" s="59"/>
      <c r="G57" s="59"/>
      <c r="H57" s="59"/>
    </row>
    <row r="58" customFormat="false" ht="15" hidden="false" customHeight="true" outlineLevel="0" collapsed="false">
      <c r="A58" s="22" t="s">
        <v>358</v>
      </c>
      <c r="B58" s="22"/>
      <c r="C58" s="22"/>
      <c r="D58" s="60" t="n">
        <f aca="false">IF(OR(D54="",E18=""),"",D54-E18)</f>
        <v>-0.279999999998836</v>
      </c>
      <c r="E58" s="60" t="str">
        <f aca="false">IF(OR(E54="",E18=""),"",E54-E18)</f>
        <v/>
      </c>
      <c r="F58" s="60" t="str">
        <f aca="false">IF(OR(F54="",E18=""),"",F54-E18)</f>
        <v/>
      </c>
      <c r="G58" s="60" t="str">
        <f aca="false">IF(OR(G54="",E18=""),"",G54-E18)</f>
        <v/>
      </c>
      <c r="H58" s="60" t="str">
        <f aca="false">IF(OR(H54="",E18=""),"",H54-E18)</f>
        <v/>
      </c>
    </row>
    <row r="59" customFormat="false" ht="15" hidden="false" customHeight="true" outlineLevel="0" collapsed="false">
      <c r="A59" s="22" t="s">
        <v>359</v>
      </c>
      <c r="B59" s="22"/>
      <c r="C59" s="22"/>
      <c r="D59" s="61" t="n">
        <f aca="false">IF(OR(D54="",E18=""),"",(D54-E18)/E18)</f>
        <v>-2.66775206063682E-006</v>
      </c>
      <c r="E59" s="61" t="str">
        <f aca="false">IF(OR(E54="",E18=""),"",(E54-E18)/E18)</f>
        <v/>
      </c>
      <c r="F59" s="61" t="str">
        <f aca="false">IF(OR(F54="",E18=""),"",(F54-E18)/E18)</f>
        <v/>
      </c>
      <c r="G59" s="61" t="str">
        <f aca="false">IF(OR(G54="",E18=""),"",(G54-E18)/E18)</f>
        <v/>
      </c>
      <c r="H59" s="61" t="str">
        <f aca="false">IF(OR(H54="",E18=""),"",(H54-E18)/E18)</f>
        <v/>
      </c>
    </row>
    <row r="60" customFormat="false" ht="15" hidden="false" customHeight="true" outlineLevel="0" collapsed="false">
      <c r="A60" s="22" t="s">
        <v>360</v>
      </c>
      <c r="B60" s="22"/>
      <c r="C60" s="22"/>
      <c r="D60" s="62" t="n">
        <f aca="false">IF(OR(D54="",D13=""),"",D54/D13)</f>
        <v>0.0516520669291339</v>
      </c>
      <c r="E60" s="62" t="str">
        <f aca="false">IF(OR(E54="",D13=""),"",E54/D13)</f>
        <v/>
      </c>
      <c r="F60" s="62" t="str">
        <f aca="false">IF(OR(F54="",D13=""),"",F54/D13)</f>
        <v/>
      </c>
      <c r="G60" s="62" t="str">
        <f aca="false">IF(OR(G54="",D13=""),"",G54/D13)</f>
        <v/>
      </c>
      <c r="H60" s="62" t="str">
        <f aca="false">IF(OR(H54="",D13=""),"",H54/D13)</f>
        <v/>
      </c>
    </row>
    <row r="61" customFormat="false" ht="15" hidden="false" customHeight="true" outlineLevel="0" collapsed="false">
      <c r="A61" s="22" t="s">
        <v>361</v>
      </c>
      <c r="B61" s="22"/>
      <c r="C61" s="22"/>
      <c r="D61" s="61" t="n">
        <f aca="false">IF(OR(D54="",H49=""),"",(D54-H49)/H49)</f>
        <v>-0.409061392709147</v>
      </c>
      <c r="E61" s="61" t="str">
        <f aca="false">IF(OR(E54="",H49=""),"",(E54-H49)/H49)</f>
        <v/>
      </c>
      <c r="F61" s="61" t="str">
        <f aca="false">IF(OR(F54="",H49=""),"",(F54-H49)/H49)</f>
        <v/>
      </c>
      <c r="G61" s="61" t="str">
        <f aca="false">IF(OR(G54="",H49=""),"",(G54-H49)/H49)</f>
        <v/>
      </c>
      <c r="H61" s="61" t="str">
        <f aca="false">IF(OR(H54="",H49=""),"",(H54-H49)/H49)</f>
        <v/>
      </c>
    </row>
    <row r="62" customFormat="false" ht="15" hidden="false" customHeight="true" outlineLevel="0" collapsed="false">
      <c r="A62" s="22" t="s">
        <v>362</v>
      </c>
      <c r="B62" s="22"/>
      <c r="C62" s="22"/>
      <c r="D62" s="63" t="n">
        <f aca="true">IF(D54="","",SUMPRODUCT(D54*(1+IF(D55="",0,D55))^ROUNDDOWN((ROW(INDIRECT("1:10"))-1)/IF(D56="",5,D56),0)))</f>
        <v>1060065.7</v>
      </c>
      <c r="E62" s="63" t="str">
        <f aca="true">IF(E54="","",SUMPRODUCT(E54*(1+IF(E55="",0,E55))^ROUNDDOWN((ROW(INDIRECT("1:10"))-1)/IF(E56="",5,E56),0)))</f>
        <v/>
      </c>
      <c r="F62" s="63" t="str">
        <f aca="true">IF(F54="","",SUMPRODUCT(F54*(1+IF(F55="",0,F55))^ROUNDDOWN((ROW(INDIRECT("1:10"))-1)/IF(F56="",5,F56),0)))</f>
        <v/>
      </c>
      <c r="G62" s="63" t="str">
        <f aca="true">IF(G54="","",SUMPRODUCT(G54*(1+IF(G55="",0,G55))^ROUNDDOWN((ROW(INDIRECT("1:10"))-1)/IF(G56="",5,G56),0)))</f>
        <v/>
      </c>
      <c r="H62" s="63" t="str">
        <f aca="true">IF(H54="","",SUMPRODUCT(H54*(1+IF(H55="",0,H55))^ROUNDDOWN((ROW(INDIRECT("1:10"))-1)/IF(H56="",5,H56),0)))</f>
        <v/>
      </c>
    </row>
    <row r="63" customFormat="false" ht="15" hidden="false" customHeight="true" outlineLevel="0" collapsed="false">
      <c r="A63" s="22" t="s">
        <v>363</v>
      </c>
      <c r="B63" s="22"/>
      <c r="C63" s="22"/>
      <c r="D63" s="60" t="n">
        <f aca="false">IF(OR(D62="",E21=""),"",D62-E21)</f>
        <v>26519.6679999999</v>
      </c>
      <c r="E63" s="60" t="str">
        <f aca="false">IF(OR(E62="",E21=""),"",E62-E21)</f>
        <v/>
      </c>
      <c r="F63" s="60" t="str">
        <f aca="false">IF(OR(F62="",E21=""),"",F62-E21)</f>
        <v/>
      </c>
      <c r="G63" s="60" t="str">
        <f aca="false">IF(OR(G62="",E21=""),"",G62-E21)</f>
        <v/>
      </c>
      <c r="H63" s="60" t="str">
        <f aca="false">IF(OR(H62="",E21=""),"",H62-E21)</f>
        <v/>
      </c>
    </row>
    <row r="64" customFormat="false" ht="23.85" hidden="false" customHeight="true" outlineLevel="0" collapsed="false">
      <c r="A64" s="22" t="s">
        <v>364</v>
      </c>
      <c r="B64" s="22"/>
      <c r="C64" s="22"/>
      <c r="D64" s="58"/>
      <c r="E64" s="58"/>
      <c r="F64" s="58"/>
      <c r="G64" s="58"/>
      <c r="H64" s="58"/>
    </row>
    <row r="65" customFormat="false" ht="23.85" hidden="false" customHeight="true" outlineLevel="0" collapsed="false">
      <c r="A65" s="22" t="s">
        <v>365</v>
      </c>
      <c r="B65" s="22"/>
      <c r="C65" s="22"/>
      <c r="D65" s="57"/>
      <c r="E65" s="57"/>
      <c r="F65" s="57"/>
      <c r="G65" s="57"/>
      <c r="H65" s="57"/>
    </row>
    <row r="66" customFormat="false" ht="15" hidden="false" customHeight="true" outlineLevel="0" collapsed="false">
      <c r="A66" s="22" t="s">
        <v>366</v>
      </c>
      <c r="B66" s="22"/>
      <c r="C66" s="22"/>
      <c r="D66" s="63" t="str">
        <f aca="false">IF(OR(D54="",AND(D64="",$D$35="")),"",IF(IF(D64="",IF($D$35="",0,$D$35),D64)=0,"— (% rent removed)",IF(D65&lt;&gt;"",D65,IF($D$37&lt;&gt;"",$D$37,D54/IF(D64="",IF($D$35="",0,$D$35),D64)))))</f>
        <v>— (% rent removed)</v>
      </c>
      <c r="E66" s="63" t="str">
        <f aca="false">IF(OR(E54="",AND(E64="",$D$35="")),"",IF(IF(E64="",IF($D$35="",0,$D$35),E64)=0,"— (% rent removed)",IF(E65&lt;&gt;"",E65,IF($D$37&lt;&gt;"",$D$37,E54/IF(E64="",IF($D$35="",0,$D$35),E64)))))</f>
        <v/>
      </c>
      <c r="F66" s="63" t="str">
        <f aca="false">IF(OR(F54="",AND(F64="",$D$35="")),"",IF(IF(F64="",IF($D$35="",0,$D$35),F64)=0,"— (% rent removed)",IF(F65&lt;&gt;"",F65,IF($D$37&lt;&gt;"",$D$37,F54/IF(F64="",IF($D$35="",0,$D$35),F64)))))</f>
        <v/>
      </c>
      <c r="G66" s="63" t="str">
        <f aca="false">IF(OR(G54="",AND(G64="",$D$35="")),"",IF(IF(G64="",IF($D$35="",0,$D$35),G64)=0,"— (% rent removed)",IF(G65&lt;&gt;"",G65,IF($D$37&lt;&gt;"",$D$37,G54/IF(G64="",IF($D$35="",0,$D$35),G64)))))</f>
        <v/>
      </c>
      <c r="H66" s="63" t="str">
        <f aca="false">IF(OR(H54="",AND(H64="",$D$35="")),"",IF(IF(H64="",IF($D$35="",0,$D$35),H64)=0,"— (% rent removed)",IF(H65&lt;&gt;"",H65,IF($D$37&lt;&gt;"",$D$37,H54/IF(H64="",IF($D$35="",0,$D$35),H64)))))</f>
        <v/>
      </c>
    </row>
    <row r="67" customFormat="false" ht="15" hidden="false" customHeight="true" outlineLevel="0" collapsed="false">
      <c r="A67" s="22" t="s">
        <v>367</v>
      </c>
      <c r="B67" s="22"/>
      <c r="C67" s="22"/>
      <c r="D67" s="63" t="n">
        <f aca="false">IF(OR(D54="",AND(D64="",$D$35=""),D13=""),"",IF(IF(D64="",IF($D$35="",0,$D$35),D64)=0,0,MAX(0,D13-D66)*IF(D64="",IF($D$35="",0,$D$35),D64)))</f>
        <v>0</v>
      </c>
      <c r="E67" s="63" t="str">
        <f aca="false">IF(OR(E54="",AND(E64="",$D$35=""),D13=""),"",IF(IF(E64="",IF($D$35="",0,$D$35),E64)=0,0,MAX(0,D13-E66)*IF(E64="",IF($D$35="",0,$D$35),E64)))</f>
        <v/>
      </c>
      <c r="F67" s="63" t="str">
        <f aca="false">IF(OR(F54="",AND(F64="",$D$35=""),D13=""),"",IF(IF(F64="",IF($D$35="",0,$D$35),F64)=0,0,MAX(0,D13-F66)*IF(F64="",IF($D$35="",0,$D$35),F64)))</f>
        <v/>
      </c>
      <c r="G67" s="63" t="str">
        <f aca="false">IF(OR(G54="",AND(G64="",$D$35=""),D13=""),"",IF(IF(G64="",IF($D$35="",0,$D$35),G64)=0,0,MAX(0,D13-G66)*IF(G64="",IF($D$35="",0,$D$35),G64)))</f>
        <v/>
      </c>
      <c r="H67" s="63" t="str">
        <f aca="false">IF(OR(H54="",AND(H64="",$D$35=""),D13=""),"",IF(IF(H64="",IF($D$35="",0,$D$35),H64)=0,0,MAX(0,D13-H66)*IF(H64="",IF($D$35="",0,$D$35),H64)))</f>
        <v/>
      </c>
    </row>
    <row r="68" customFormat="false" ht="15" hidden="false" customHeight="true" outlineLevel="0" collapsed="false">
      <c r="A68" s="22" t="s">
        <v>368</v>
      </c>
      <c r="B68" s="22"/>
      <c r="C68" s="22"/>
      <c r="D68" s="63" t="n">
        <f aca="false">IF(OR(D54="",D67=""),"",D54+D67)</f>
        <v>104957</v>
      </c>
      <c r="E68" s="63" t="str">
        <f aca="false">IF(OR(E54="",E67=""),"",E54+E67)</f>
        <v/>
      </c>
      <c r="F68" s="63" t="str">
        <f aca="false">IF(OR(F54="",F67=""),"",F54+F67)</f>
        <v/>
      </c>
      <c r="G68" s="63" t="str">
        <f aca="false">IF(OR(G54="",G67=""),"",G54+G67)</f>
        <v/>
      </c>
      <c r="H68" s="63" t="str">
        <f aca="false">IF(OR(H54="",H67=""),"",H54+H67)</f>
        <v/>
      </c>
    </row>
    <row r="69" customFormat="false" ht="15" hidden="false" customHeight="true" outlineLevel="0" collapsed="false">
      <c r="A69" s="22" t="s">
        <v>369</v>
      </c>
      <c r="B69" s="22"/>
      <c r="C69" s="22"/>
      <c r="D69" s="62" t="n">
        <f aca="false">IF(OR(D68="",D13=""),"",D68/D13)</f>
        <v>0.0516520669291339</v>
      </c>
      <c r="E69" s="62" t="str">
        <f aca="false">IF(OR(E68="",D13=""),"",E68/D13)</f>
        <v/>
      </c>
      <c r="F69" s="62" t="str">
        <f aca="false">IF(OR(F68="",D13=""),"",F68/D13)</f>
        <v/>
      </c>
      <c r="G69" s="62" t="str">
        <f aca="false">IF(OR(G68="",D13=""),"",G68/D13)</f>
        <v/>
      </c>
      <c r="H69" s="62" t="str">
        <f aca="false">IF(OR(H68="",D13=""),"",H68/D13)</f>
        <v/>
      </c>
    </row>
    <row r="70" customFormat="false" ht="23.85" hidden="false" customHeight="true" outlineLevel="0" collapsed="false">
      <c r="A70" s="22" t="s">
        <v>370</v>
      </c>
      <c r="B70" s="22"/>
      <c r="C70" s="22"/>
      <c r="D70" s="64" t="n">
        <f aca="false">IF(D68="","",(482003.11-D68)/2026689.94)</f>
        <v>0.186040352082667</v>
      </c>
      <c r="E70" s="64" t="str">
        <f aca="false">IF(E68="","",(482003.11-E68)/2026689.94)</f>
        <v/>
      </c>
      <c r="F70" s="64" t="str">
        <f aca="false">IF(F68="","",(482003.11-F68)/2026689.94)</f>
        <v/>
      </c>
      <c r="G70" s="64" t="str">
        <f aca="false">IF(G68="","",(482003.11-G68)/2026689.94)</f>
        <v/>
      </c>
      <c r="H70" s="64" t="str">
        <f aca="false">IF(H68="","",(482003.11-H68)/2026689.94)</f>
        <v/>
      </c>
    </row>
    <row r="71" customFormat="false" ht="15" hidden="false" customHeight="true" outlineLevel="0" collapsed="false">
      <c r="A71" s="22" t="s">
        <v>371</v>
      </c>
      <c r="B71" s="22"/>
      <c r="C71" s="22"/>
      <c r="D71" s="63" t="n">
        <f aca="true">IF(OR(D54="",AND(D64="",$D$35=""),D13=""),"",IF(IF(D64="",IF($D$35="",0,$D$35),D64)=0,0,SUMPRODUCT(((D13*1.02^(ROW(INDIRECT("1:10"))-1))-(IF(D65&lt;&gt;"",D65,IF($D$37&lt;&gt;"",$D$37,(D54*(1+IF(D55="",0,D55))^ROUNDDOWN((ROW(INDIRECT("1:10"))-1)/IF(D56="",5,D56),0))/IF(D64="",IF($D$35="",0,$D$35),D64))))&gt;0)*((D13*1.02^(ROW(INDIRECT("1:10"))-1))-(IF(D65&lt;&gt;"",D65,IF($D$37&lt;&gt;"",$D$37,(D54*(1+IF(D55="",0,D55))^ROUNDDOWN((ROW(INDIRECT("1:10"))-1)/IF(D56="",5,D56),0))/IF(D64="",IF($D$35="",0,$D$35),D64))))))*IF(D64="",IF($D$35="",0,$D$35),D64)))</f>
        <v>0</v>
      </c>
      <c r="E71" s="63" t="str">
        <f aca="true">IF(OR(E54="",AND(E64="",$D$35=""),D13=""),"",IF(IF(E64="",IF($D$35="",0,$D$35),E64)=0,0,SUMPRODUCT(((D13*1.02^(ROW(INDIRECT("1:10"))-1))-(IF(E65&lt;&gt;"",E65,IF($D$37&lt;&gt;"",$D$37,(E54*(1+IF(E55="",0,E55))^ROUNDDOWN((ROW(INDIRECT("1:10"))-1)/IF(E56="",5,E56),0))/IF(E64="",IF($D$35="",0,$D$35),E64))))&gt;0)*((D13*1.02^(ROW(INDIRECT("1:10"))-1))-(IF(E65&lt;&gt;"",E65,IF($D$37&lt;&gt;"",$D$37,(E54*(1+IF(E55="",0,E55))^ROUNDDOWN((ROW(INDIRECT("1:10"))-1)/IF(E56="",5,E56),0))/IF(E64="",IF($D$35="",0,$D$35),E64))))))*IF(E64="",IF($D$35="",0,$D$35),E64)))</f>
        <v/>
      </c>
      <c r="F71" s="63" t="str">
        <f aca="true">IF(OR(F54="",AND(F64="",$D$35=""),D13=""),"",IF(IF(F64="",IF($D$35="",0,$D$35),F64)=0,0,SUMPRODUCT(((D13*1.02^(ROW(INDIRECT("1:10"))-1))-(IF(F65&lt;&gt;"",F65,IF($D$37&lt;&gt;"",$D$37,(F54*(1+IF(F55="",0,F55))^ROUNDDOWN((ROW(INDIRECT("1:10"))-1)/IF(F56="",5,F56),0))/IF(F64="",IF($D$35="",0,$D$35),F64))))&gt;0)*((D13*1.02^(ROW(INDIRECT("1:10"))-1))-(IF(F65&lt;&gt;"",F65,IF($D$37&lt;&gt;"",$D$37,(F54*(1+IF(F55="",0,F55))^ROUNDDOWN((ROW(INDIRECT("1:10"))-1)/IF(F56="",5,F56),0))/IF(F64="",IF($D$35="",0,$D$35),F64))))))*IF(F64="",IF($D$35="",0,$D$35),F64)))</f>
        <v/>
      </c>
      <c r="G71" s="63" t="str">
        <f aca="true">IF(OR(G54="",AND(G64="",$D$35=""),D13=""),"",IF(IF(G64="",IF($D$35="",0,$D$35),G64)=0,0,SUMPRODUCT(((D13*1.02^(ROW(INDIRECT("1:10"))-1))-(IF(G65&lt;&gt;"",G65,IF($D$37&lt;&gt;"",$D$37,(G54*(1+IF(G55="",0,G55))^ROUNDDOWN((ROW(INDIRECT("1:10"))-1)/IF(G56="",5,G56),0))/IF(G64="",IF($D$35="",0,$D$35),G64))))&gt;0)*((D13*1.02^(ROW(INDIRECT("1:10"))-1))-(IF(G65&lt;&gt;"",G65,IF($D$37&lt;&gt;"",$D$37,(G54*(1+IF(G55="",0,G55))^ROUNDDOWN((ROW(INDIRECT("1:10"))-1)/IF(G56="",5,G56),0))/IF(G64="",IF($D$35="",0,$D$35),G64))))))*IF(G64="",IF($D$35="",0,$D$35),G64)))</f>
        <v/>
      </c>
      <c r="H71" s="63" t="str">
        <f aca="true">IF(OR(H54="",AND(H64="",$D$35=""),D13=""),"",IF(IF(H64="",IF($D$35="",0,$D$35),H64)=0,0,SUMPRODUCT(((D13*1.02^(ROW(INDIRECT("1:10"))-1))-(IF(H65&lt;&gt;"",H65,IF($D$37&lt;&gt;"",$D$37,(H54*(1+IF(H55="",0,H55))^ROUNDDOWN((ROW(INDIRECT("1:10"))-1)/IF(H56="",5,H56),0))/IF(H64="",IF($D$35="",0,$D$35),H64))))&gt;0)*((D13*1.02^(ROW(INDIRECT("1:10"))-1))-(IF(H65&lt;&gt;"",H65,IF($D$37&lt;&gt;"",$D$37,(H54*(1+IF(H55="",0,H55))^ROUNDDOWN((ROW(INDIRECT("1:10"))-1)/IF(H56="",5,H56),0))/IF(H64="",IF($D$35="",0,$D$35),H64))))))*IF(H64="",IF($D$35="",0,$D$35),H64)))</f>
        <v/>
      </c>
    </row>
    <row r="72" customFormat="false" ht="15" hidden="false" customHeight="true" outlineLevel="0" collapsed="false">
      <c r="A72" s="22" t="s">
        <v>372</v>
      </c>
      <c r="B72" s="22"/>
      <c r="C72" s="22"/>
      <c r="D72" s="63" t="n">
        <f aca="false">IF(OR(D62="",D71=""),"",D62+D71)</f>
        <v>1060065.7</v>
      </c>
      <c r="E72" s="63" t="str">
        <f aca="false">IF(OR(E62="",E71=""),"",E62+E71)</f>
        <v/>
      </c>
      <c r="F72" s="63" t="str">
        <f aca="false">IF(OR(F62="",F71=""),"",F62+F71)</f>
        <v/>
      </c>
      <c r="G72" s="63" t="str">
        <f aca="false">IF(OR(G62="",G71=""),"",G62+G71)</f>
        <v/>
      </c>
      <c r="H72" s="63" t="str">
        <f aca="false">IF(OR(H62="",H71=""),"",H62+H71)</f>
        <v/>
      </c>
    </row>
    <row r="73" customFormat="false" ht="23.85" hidden="false" customHeight="true" outlineLevel="0" collapsed="false">
      <c r="A73" s="22" t="s">
        <v>373</v>
      </c>
      <c r="B73" s="22"/>
      <c r="C73" s="22"/>
      <c r="D73" s="65" t="n">
        <f aca="true">IF(D54="","",SUMPRODUCT(D54*(1+IF(D55="",0,D55))^ROUNDDOWN((ROW(INDIRECT("1:"&amp;IF(D57="",10,D57)))-1)/IF(D56="",5,D56),0))+IF(OR(D13="",IF(D64="",IF($D$35="",0,$D$35),D64)=0),0,SUMPRODUCT(((D13*1.02^(ROW(INDIRECT("1:"&amp;IF(D57="",10,D57)))-1))-(IF(D65&lt;&gt;"",D65,IF($D$37&lt;&gt;"",$D$37,(D54*(1+IF(D55="",0,D55))^ROUNDDOWN((ROW(INDIRECT("1:"&amp;IF(D57="",10,D57)))-1)/IF(D56="",5,D56),0))/IF(D64="",IF($D$35="",0,$D$35),D64))))&gt;0)*((D13*1.02^(ROW(INDIRECT("1:"&amp;IF(D57="",10,D57)))-1))-(IF(D65&lt;&gt;"",D65,IF($D$37&lt;&gt;"",$D$37,(D54*(1+IF(D55="",0,D55))^ROUNDDOWN((ROW(INDIRECT("1:"&amp;IF(D57="",10,D57)))-1)/IF(D56="",5,D56),0))/IF(D64="",IF($D$35="",0,$D$35),D64))))))*IF(D64="",IF($D$35="",0,$D$35),D64)))</f>
        <v>2162958.05428</v>
      </c>
      <c r="E73" s="65" t="str">
        <f aca="true">IF(E54="","",SUMPRODUCT(E54*(1+IF(E55="",0,E55))^ROUNDDOWN((ROW(INDIRECT("1:"&amp;IF(E57="",10,E57)))-1)/IF(E56="",5,E56),0))+IF(OR(D13="",IF(E64="",IF($D$35="",0,$D$35),E64)=0),0,SUMPRODUCT(((D13*1.02^(ROW(INDIRECT("1:"&amp;IF(E57="",10,E57)))-1))-(IF(E65&lt;&gt;"",E65,IF($D$37&lt;&gt;"",$D$37,(E54*(1+IF(E55="",0,E55))^ROUNDDOWN((ROW(INDIRECT("1:"&amp;IF(E57="",10,E57)))-1)/IF(E56="",5,E56),0))/IF(E64="",IF($D$35="",0,$D$35),E64))))&gt;0)*((D13*1.02^(ROW(INDIRECT("1:"&amp;IF(E57="",10,E57)))-1))-(IF(E65&lt;&gt;"",E65,IF($D$37&lt;&gt;"",$D$37,(E54*(1+IF(E55="",0,E55))^ROUNDDOWN((ROW(INDIRECT("1:"&amp;IF(E57="",10,E57)))-1)/IF(E56="",5,E56),0))/IF(E64="",IF($D$35="",0,$D$35),E64))))))*IF(E64="",IF($D$35="",0,$D$35),E64)))</f>
        <v/>
      </c>
      <c r="F73" s="65" t="str">
        <f aca="true">IF(F54="","",SUMPRODUCT(F54*(1+IF(F55="",0,F55))^ROUNDDOWN((ROW(INDIRECT("1:"&amp;IF(F57="",10,F57)))-1)/IF(F56="",5,F56),0))+IF(OR(D13="",IF(F64="",IF($D$35="",0,$D$35),F64)=0),0,SUMPRODUCT(((D13*1.02^(ROW(INDIRECT("1:"&amp;IF(F57="",10,F57)))-1))-(IF(F65&lt;&gt;"",F65,IF($D$37&lt;&gt;"",$D$37,(F54*(1+IF(F55="",0,F55))^ROUNDDOWN((ROW(INDIRECT("1:"&amp;IF(F57="",10,F57)))-1)/IF(F56="",5,F56),0))/IF(F64="",IF($D$35="",0,$D$35),F64))))&gt;0)*((D13*1.02^(ROW(INDIRECT("1:"&amp;IF(F57="",10,F57)))-1))-(IF(F65&lt;&gt;"",F65,IF($D$37&lt;&gt;"",$D$37,(F54*(1+IF(F55="",0,F55))^ROUNDDOWN((ROW(INDIRECT("1:"&amp;IF(F57="",10,F57)))-1)/IF(F56="",5,F56),0))/IF(F64="",IF($D$35="",0,$D$35),F64))))))*IF(F64="",IF($D$35="",0,$D$35),F64)))</f>
        <v/>
      </c>
      <c r="G73" s="65" t="str">
        <f aca="true">IF(G54="","",SUMPRODUCT(G54*(1+IF(G55="",0,G55))^ROUNDDOWN((ROW(INDIRECT("1:"&amp;IF(G57="",10,G57)))-1)/IF(G56="",5,G56),0))+IF(OR(D13="",IF(G64="",IF($D$35="",0,$D$35),G64)=0),0,SUMPRODUCT(((D13*1.02^(ROW(INDIRECT("1:"&amp;IF(G57="",10,G57)))-1))-(IF(G65&lt;&gt;"",G65,IF($D$37&lt;&gt;"",$D$37,(G54*(1+IF(G55="",0,G55))^ROUNDDOWN((ROW(INDIRECT("1:"&amp;IF(G57="",10,G57)))-1)/IF(G56="",5,G56),0))/IF(G64="",IF($D$35="",0,$D$35),G64))))&gt;0)*((D13*1.02^(ROW(INDIRECT("1:"&amp;IF(G57="",10,G57)))-1))-(IF(G65&lt;&gt;"",G65,IF($D$37&lt;&gt;"",$D$37,(G54*(1+IF(G55="",0,G55))^ROUNDDOWN((ROW(INDIRECT("1:"&amp;IF(G57="",10,G57)))-1)/IF(G56="",5,G56),0))/IF(G64="",IF($D$35="",0,$D$35),G64))))))*IF(G64="",IF($D$35="",0,$D$35),G64)))</f>
        <v/>
      </c>
      <c r="H73" s="65" t="str">
        <f aca="true">IF(H54="","",SUMPRODUCT(H54*(1+IF(H55="",0,H55))^ROUNDDOWN((ROW(INDIRECT("1:"&amp;IF(H57="",10,H57)))-1)/IF(H56="",5,H56),0))+IF(OR(D13="",IF(H64="",IF($D$35="",0,$D$35),H64)=0),0,SUMPRODUCT(((D13*1.02^(ROW(INDIRECT("1:"&amp;IF(H57="",10,H57)))-1))-(IF(H65&lt;&gt;"",H65,IF($D$37&lt;&gt;"",$D$37,(H54*(1+IF(H55="",0,H55))^ROUNDDOWN((ROW(INDIRECT("1:"&amp;IF(H57="",10,H57)))-1)/IF(H56="",5,H56),0))/IF(H64="",IF($D$35="",0,$D$35),H64))))&gt;0)*((D13*1.02^(ROW(INDIRECT("1:"&amp;IF(H57="",10,H57)))-1))-(IF(H65&lt;&gt;"",H65,IF($D$37&lt;&gt;"",$D$37,(H54*(1+IF(H55="",0,H55))^ROUNDDOWN((ROW(INDIRECT("1:"&amp;IF(H57="",10,H57)))-1)/IF(H56="",5,H56),0))/IF(H64="",IF($D$35="",0,$D$35),H64))))))*IF(H64="",IF($D$35="",0,$D$35),H64)))</f>
        <v/>
      </c>
    </row>
    <row r="74" customFormat="false" ht="15" hidden="false" customHeight="true" outlineLevel="0" collapsed="false">
      <c r="A74" s="22" t="s">
        <v>374</v>
      </c>
      <c r="B74" s="22"/>
      <c r="C74" s="22"/>
      <c r="D74" s="62" t="n">
        <f aca="false">IF(D54="","",IF(D55="",0,(1+D55)^(5/IF(D56="",5,D56))-1))</f>
        <v>0.02</v>
      </c>
      <c r="E74" s="62" t="str">
        <f aca="false">IF(E54="","",IF(E55="",0,(1+E55)^(5/IF(E56="",5,E56))-1))</f>
        <v/>
      </c>
      <c r="F74" s="62" t="str">
        <f aca="false">IF(F54="","",IF(F55="",0,(1+F55)^(5/IF(F56="",5,F56))-1))</f>
        <v/>
      </c>
      <c r="G74" s="62" t="str">
        <f aca="false">IF(G54="","",IF(G55="",0,(1+G55)^(5/IF(G56="",5,G56))-1))</f>
        <v/>
      </c>
      <c r="H74" s="62" t="str">
        <f aca="false">IF(H54="","",IF(H55="",0,(1+H55)^(5/IF(H56="",5,H56))-1))</f>
        <v/>
      </c>
    </row>
    <row r="75" customFormat="false" ht="43.25" hidden="false" customHeight="true" outlineLevel="0" collapsed="false">
      <c r="A75" s="22" t="s">
        <v>375</v>
      </c>
      <c r="B75" s="22"/>
      <c r="C75" s="22"/>
      <c r="D75" s="66" t="str">
        <f aca="false">IF(D74="","",IF(D74&lt;=0,"REDUCTION / FLAT — ladder steps 1-2 (best)",IF(D74&lt;=0.08,"OK — within 8%/5-yr in-house authority (ladder step 3)","ABOVE 8%/5-yr — CEO SIGN-OFF REQUIRED (Rob 8/5/26)")))</f>
        <v>OK — within 8%/5-yr in-house authority (ladder step 3)</v>
      </c>
      <c r="E75" s="66" t="str">
        <f aca="false">IF(E74="","",IF(E74&lt;=0,"REDUCTION / FLAT — ladder steps 1-2 (best)",IF(E74&lt;=0.08,"OK — within 8%/5-yr in-house authority (ladder step 3)","ABOVE 8%/5-yr — CEO SIGN-OFF REQUIRED (Rob 8/5/26)")))</f>
        <v/>
      </c>
      <c r="F75" s="66" t="str">
        <f aca="false">IF(F74="","",IF(F74&lt;=0,"REDUCTION / FLAT — ladder steps 1-2 (best)",IF(F74&lt;=0.08,"OK — within 8%/5-yr in-house authority (ladder step 3)","ABOVE 8%/5-yr — CEO SIGN-OFF REQUIRED (Rob 8/5/26)")))</f>
        <v/>
      </c>
      <c r="G75" s="66" t="str">
        <f aca="false">IF(G74="","",IF(G74&lt;=0,"REDUCTION / FLAT — ladder steps 1-2 (best)",IF(G74&lt;=0.08,"OK — within 8%/5-yr in-house authority (ladder step 3)","ABOVE 8%/5-yr — CEO SIGN-OFF REQUIRED (Rob 8/5/26)")))</f>
        <v/>
      </c>
      <c r="H75" s="66" t="str">
        <f aca="false">IF(H74="","",IF(H74&lt;=0,"REDUCTION / FLAT — ladder steps 1-2 (best)",IF(H74&lt;=0.08,"OK — within 8%/5-yr in-house authority (ladder step 3)","ABOVE 8%/5-yr — CEO SIGN-OFF REQUIRED (Rob 8/5/26)")))</f>
        <v/>
      </c>
    </row>
    <row r="76" customFormat="false" ht="23.85" hidden="false" customHeight="true" outlineLevel="0" collapsed="false">
      <c r="A76" s="22" t="s">
        <v>376</v>
      </c>
      <c r="B76" s="22"/>
      <c r="C76" s="22"/>
      <c r="D76" s="62" t="n">
        <f aca="false">IF(OR(D54="",D13=""),"",((D54*(1+IF(D55="",0,D55))^ROUNDDOWN(9/IF(D56="",5,D56),0))+IF(IF(D64="",IF($D$35="",0,$D$35),D64)=0,0,MAX(0,D13*1.02^9-IF(D65&lt;&gt;"",D65,IF($D$37&lt;&gt;"",$D$37,(D54*(1+IF(D55="",0,D55))^ROUNDDOWN(9/IF(D56="",5,D56),0))/IF(D64="",IF($D$35="",0,$D$35),D64))))*IF(D64="",IF($D$35="",0,$D$35),D64)))/(D13*1.02^9))</f>
        <v>0.0440845417760829</v>
      </c>
      <c r="E76" s="62" t="str">
        <f aca="false">IF(OR(E54="",D13=""),"",((E54*(1+IF(E55="",0,E55))^ROUNDDOWN(9/IF(E56="",5,E56),0))+IF(IF(E64="",IF($D$35="",0,$D$35),E64)=0,0,MAX(0,D13*1.02^9-IF(E65&lt;&gt;"",E65,IF($D$37&lt;&gt;"",$D$37,(E54*(1+IF(E55="",0,E55))^ROUNDDOWN(9/IF(E56="",5,E56),0))/IF(E64="",IF($D$35="",0,$D$35),E64))))*IF(E64="",IF($D$35="",0,$D$35),E64)))/(D13*1.02^9))</f>
        <v/>
      </c>
      <c r="F76" s="62" t="str">
        <f aca="false">IF(OR(F54="",D13=""),"",((F54*(1+IF(F55="",0,F55))^ROUNDDOWN(9/IF(F56="",5,F56),0))+IF(IF(F64="",IF($D$35="",0,$D$35),F64)=0,0,MAX(0,D13*1.02^9-IF(F65&lt;&gt;"",F65,IF($D$37&lt;&gt;"",$D$37,(F54*(1+IF(F55="",0,F55))^ROUNDDOWN(9/IF(F56="",5,F56),0))/IF(F64="",IF($D$35="",0,$D$35),F64))))*IF(F64="",IF($D$35="",0,$D$35),F64)))/(D13*1.02^9))</f>
        <v/>
      </c>
      <c r="G76" s="62" t="str">
        <f aca="false">IF(OR(G54="",D13=""),"",((G54*(1+IF(G55="",0,G55))^ROUNDDOWN(9/IF(G56="",5,G56),0))+IF(IF(G64="",IF($D$35="",0,$D$35),G64)=0,0,MAX(0,D13*1.02^9-IF(G65&lt;&gt;"",G65,IF($D$37&lt;&gt;"",$D$37,(G54*(1+IF(G55="",0,G55))^ROUNDDOWN(9/IF(G56="",5,G56),0))/IF(G64="",IF($D$35="",0,$D$35),G64))))*IF(G64="",IF($D$35="",0,$D$35),G64)))/(D13*1.02^9))</f>
        <v/>
      </c>
      <c r="H76" s="62" t="str">
        <f aca="false">IF(OR(H54="",D13=""),"",((H54*(1+IF(H55="",0,H55))^ROUNDDOWN(9/IF(H56="",5,H56),0))+IF(IF(H64="",IF($D$35="",0,$D$35),H64)=0,0,MAX(0,D13*1.02^9-IF(H65&lt;&gt;"",H65,IF($D$37&lt;&gt;"",$D$37,(H54*(1+IF(H55="",0,H55))^ROUNDDOWN(9/IF(H56="",5,H56),0))/IF(H64="",IF($D$35="",0,$D$35),H64))))*IF(H64="",IF($D$35="",0,$D$35),H64)))/(D13*1.02^9))</f>
        <v/>
      </c>
    </row>
    <row r="77" customFormat="false" ht="23.85" hidden="false" customHeight="true" outlineLevel="0" collapsed="false">
      <c r="A77" s="22" t="s">
        <v>377</v>
      </c>
      <c r="B77" s="22"/>
      <c r="C77" s="22"/>
      <c r="D77" s="66" t="str">
        <f aca="false">IF(OR(D76="",D69=""),"",IF(MAX(D69,D76)&gt;=0.08,"HARD STOP — occupancy at/above 8% of sales: STOP, CEO sign-off before responding",IF(MAX(D69,D76)&gt;0.07,"Above Kim 7% alert — approaching 8% hard stop","OK — under 7% alert")))</f>
        <v>OK — under 7% alert</v>
      </c>
      <c r="E77" s="66" t="str">
        <f aca="false">IF(OR(E76="",E69=""),"",IF(MAX(E69,E76)&gt;=0.08,"HARD STOP — occupancy at/above 8% of sales: STOP, CEO sign-off before responding",IF(MAX(E69,E76)&gt;0.07,"Above Kim 7% alert — approaching 8% hard stop","OK — under 7% alert")))</f>
        <v/>
      </c>
      <c r="F77" s="66" t="str">
        <f aca="false">IF(OR(F76="",F69=""),"",IF(MAX(F69,F76)&gt;=0.08,"HARD STOP — occupancy at/above 8% of sales: STOP, CEO sign-off before responding",IF(MAX(F69,F76)&gt;0.07,"Above Kim 7% alert — approaching 8% hard stop","OK — under 7% alert")))</f>
        <v/>
      </c>
      <c r="G77" s="66" t="str">
        <f aca="false">IF(OR(G76="",G69=""),"",IF(MAX(G69,G76)&gt;=0.08,"HARD STOP — occupancy at/above 8% of sales: STOP, CEO sign-off before responding",IF(MAX(G69,G76)&gt;0.07,"Above Kim 7% alert — approaching 8% hard stop","OK — under 7% alert")))</f>
        <v/>
      </c>
      <c r="H77" s="66" t="str">
        <f aca="false">IF(OR(H76="",H69=""),"",IF(MAX(H69,H76)&gt;=0.08,"HARD STOP — occupancy at/above 8% of sales: STOP, CEO sign-off before responding",IF(MAX(H69,H76)&gt;0.07,"Above Kim 7% alert — approaching 8% hard stop","OK — under 7% alert")))</f>
        <v/>
      </c>
    </row>
    <row r="79" customFormat="false" ht="22.35" hidden="false" customHeight="true" outlineLevel="0" collapsed="false">
      <c r="A79" s="68" t="s">
        <v>379</v>
      </c>
      <c r="B79" s="68"/>
      <c r="C79" s="68"/>
      <c r="D79" s="68"/>
      <c r="E79" s="68"/>
      <c r="F79" s="68"/>
      <c r="G79" s="68"/>
      <c r="H79" s="68"/>
      <c r="I79" s="68"/>
      <c r="J79" s="68"/>
    </row>
    <row r="81" customFormat="false" ht="15" hidden="false" customHeight="false" outlineLevel="0" collapsed="false">
      <c r="A81" s="69" t="s">
        <v>380</v>
      </c>
      <c r="B81" s="69"/>
      <c r="C81" s="69"/>
      <c r="D81" s="69"/>
      <c r="E81" s="69"/>
      <c r="F81" s="69"/>
      <c r="G81" s="69"/>
      <c r="H81" s="69"/>
      <c r="I81" s="69"/>
      <c r="J81" s="69"/>
    </row>
    <row r="84" customFormat="false" ht="15" hidden="false" customHeight="false" outlineLevel="0" collapsed="false">
      <c r="A84" s="25" t="s">
        <v>381</v>
      </c>
    </row>
    <row r="85" customFormat="false" ht="15" hidden="false" customHeight="false" outlineLevel="0" collapsed="false">
      <c r="A85" s="69" t="s">
        <v>382</v>
      </c>
      <c r="B85" s="69"/>
      <c r="C85" s="69"/>
      <c r="D85" s="69"/>
      <c r="E85" s="69"/>
      <c r="F85" s="69"/>
      <c r="G85" s="69"/>
      <c r="H85" s="69"/>
      <c r="I85" s="69"/>
      <c r="J85" s="69"/>
      <c r="K85" s="69"/>
      <c r="L85" s="69"/>
      <c r="M85" s="69"/>
      <c r="N85" s="69"/>
      <c r="O85" s="69"/>
      <c r="P85" s="69"/>
      <c r="Q85" s="69"/>
      <c r="R85" s="69"/>
      <c r="S85" s="69"/>
      <c r="T85" s="69"/>
    </row>
    <row r="86" customFormat="false" ht="15" hidden="false" customHeight="true" outlineLevel="0" collapsed="false">
      <c r="A86" s="70" t="s">
        <v>383</v>
      </c>
      <c r="B86" s="70" t="s">
        <v>384</v>
      </c>
      <c r="C86" s="71" t="s">
        <v>385</v>
      </c>
      <c r="D86" s="71"/>
      <c r="E86" s="71"/>
      <c r="F86" s="71" t="s">
        <v>386</v>
      </c>
      <c r="G86" s="71"/>
      <c r="H86" s="71"/>
      <c r="I86" s="71" t="s">
        <v>387</v>
      </c>
      <c r="J86" s="71"/>
      <c r="K86" s="71"/>
      <c r="L86" s="71" t="s">
        <v>388</v>
      </c>
      <c r="M86" s="71"/>
      <c r="N86" s="71"/>
      <c r="O86" s="71" t="s">
        <v>389</v>
      </c>
      <c r="P86" s="71"/>
      <c r="Q86" s="71"/>
      <c r="R86" s="72" t="s">
        <v>390</v>
      </c>
      <c r="S86" s="72"/>
      <c r="T86" s="72"/>
    </row>
    <row r="87" customFormat="false" ht="15" hidden="false" customHeight="false" outlineLevel="0" collapsed="false">
      <c r="A87" s="73"/>
      <c r="B87" s="73"/>
      <c r="C87" s="73" t="s">
        <v>391</v>
      </c>
      <c r="D87" s="73" t="s">
        <v>392</v>
      </c>
      <c r="E87" s="73" t="s">
        <v>393</v>
      </c>
      <c r="F87" s="73" t="s">
        <v>391</v>
      </c>
      <c r="G87" s="73" t="s">
        <v>392</v>
      </c>
      <c r="H87" s="73" t="s">
        <v>393</v>
      </c>
      <c r="I87" s="73" t="s">
        <v>391</v>
      </c>
      <c r="J87" s="73" t="s">
        <v>392</v>
      </c>
      <c r="K87" s="73" t="s">
        <v>393</v>
      </c>
      <c r="L87" s="73" t="s">
        <v>391</v>
      </c>
      <c r="M87" s="73" t="s">
        <v>392</v>
      </c>
      <c r="N87" s="73" t="s">
        <v>393</v>
      </c>
      <c r="O87" s="73" t="s">
        <v>391</v>
      </c>
      <c r="P87" s="73" t="s">
        <v>392</v>
      </c>
      <c r="Q87" s="73" t="s">
        <v>393</v>
      </c>
      <c r="R87" s="73" t="s">
        <v>391</v>
      </c>
      <c r="S87" s="73" t="s">
        <v>392</v>
      </c>
      <c r="T87" s="73" t="s">
        <v>393</v>
      </c>
    </row>
    <row r="88" customFormat="false" ht="15" hidden="false" customHeight="false" outlineLevel="0" collapsed="false">
      <c r="A88" s="74" t="n">
        <v>1</v>
      </c>
      <c r="B88" s="75" t="n">
        <v>2032000</v>
      </c>
      <c r="C88" s="76" t="n">
        <v>104957</v>
      </c>
      <c r="D88" s="76" t="n">
        <v>0</v>
      </c>
      <c r="E88" s="76" t="n">
        <v>104957</v>
      </c>
      <c r="F88" s="75" t="n">
        <f aca="false">IF(D54="","",IF(1&gt;IF(D57="",10,D57),"",D54*(1+IF(D55="",0,D55))^ROUNDDOWN((1-1)/IF(D56="",5,D56),0)))</f>
        <v>104957</v>
      </c>
      <c r="G88" s="75" t="n">
        <f aca="false">IF(F88="","",IF((IF(D64="",IF($D$35="",0,$D$35),D64))=0,0,MAX(0,2032000-(IF(D65&lt;&gt;"",D65,IF($D$37&lt;&gt;"",$D$37,IF((IF(D64="",IF($D$35="",0,$D$35),D64))=0,0,D54/(IF(D64="",IF($D$35="",0,$D$35),D64)))))))*(IF(D64="",IF($D$35="",0,$D$35),D64))))</f>
        <v>0</v>
      </c>
      <c r="H88" s="75" t="n">
        <f aca="false">IF(F88="","",F88+G88)</f>
        <v>104957</v>
      </c>
      <c r="I88" s="75" t="str">
        <f aca="false">IF(E54="","",IF(1&gt;IF(E57="",10,E57),"",E54*(1+IF(E55="",0,E55))^ROUNDDOWN((1-1)/IF(E56="",5,E56),0)))</f>
        <v/>
      </c>
      <c r="J88" s="75" t="str">
        <f aca="false">IF(I88="","",IF((IF(E64="",IF($D$35="",0,$D$35),E64))=0,0,MAX(0,2032000-(IF(E65&lt;&gt;"",E65,IF($D$37&lt;&gt;"",$D$37,IF((IF(E64="",IF($D$35="",0,$D$35),E64))=0,0,E54/(IF(E64="",IF($D$35="",0,$D$35),E64)))))))*(IF(E64="",IF($D$35="",0,$D$35),E64))))</f>
        <v/>
      </c>
      <c r="K88" s="75" t="str">
        <f aca="false">IF(I88="","",I88+J88)</f>
        <v/>
      </c>
      <c r="L88" s="75" t="str">
        <f aca="false">IF(F54="","",IF(1&gt;IF(F57="",10,F57),"",F54*(1+IF(F55="",0,F55))^ROUNDDOWN((1-1)/IF(F56="",5,F56),0)))</f>
        <v/>
      </c>
      <c r="M88" s="75" t="str">
        <f aca="false">IF(L88="","",IF((IF(F64="",IF($D$35="",0,$D$35),F64))=0,0,MAX(0,2032000-(IF(F65&lt;&gt;"",F65,IF($D$37&lt;&gt;"",$D$37,IF((IF(F64="",IF($D$35="",0,$D$35),F64))=0,0,F54/(IF(F64="",IF($D$35="",0,$D$35),F64)))))))*(IF(F64="",IF($D$35="",0,$D$35),F64))))</f>
        <v/>
      </c>
      <c r="N88" s="75" t="str">
        <f aca="false">IF(L88="","",L88+M88)</f>
        <v/>
      </c>
      <c r="O88" s="75" t="str">
        <f aca="false">IF(G54="","",IF(1&gt;IF(G57="",10,G57),"",G54*(1+IF(G55="",0,G55))^ROUNDDOWN((1-1)/IF(G56="",5,G56),0)))</f>
        <v/>
      </c>
      <c r="P88" s="75" t="str">
        <f aca="false">IF(O88="","",IF((IF(G64="",IF($D$35="",0,$D$35),G64))=0,0,MAX(0,2032000-(IF(G65&lt;&gt;"",G65,IF($D$37&lt;&gt;"",$D$37,IF((IF(G64="",IF($D$35="",0,$D$35),G64))=0,0,G54/(IF(G64="",IF($D$35="",0,$D$35),G64)))))))*(IF(G64="",IF($D$35="",0,$D$35),G64))))</f>
        <v/>
      </c>
      <c r="Q88" s="75" t="str">
        <f aca="false">IF(O88="","",O88+P88)</f>
        <v/>
      </c>
      <c r="R88" s="75" t="str">
        <f aca="false">IF(H54="","",IF(1&gt;IF(H57="",10,H57),"",H54*(1+IF(H55="",0,H55))^ROUNDDOWN((1-1)/IF(H56="",5,H56),0)))</f>
        <v/>
      </c>
      <c r="S88" s="75" t="str">
        <f aca="false">IF(R88="","",IF((IF(H64="",IF($D$35="",0,$D$35),H64))=0,0,MAX(0,2032000-(IF(H65&lt;&gt;"",H65,IF($D$37&lt;&gt;"",$D$37,IF((IF(H64="",IF($D$35="",0,$D$35),H64))=0,0,H54/(IF(H64="",IF($D$35="",0,$D$35),H64)))))))*(IF(H64="",IF($D$35="",0,$D$35),H64))))</f>
        <v/>
      </c>
      <c r="T88" s="75" t="str">
        <f aca="false">IF(R88="","",R88+S88)</f>
        <v/>
      </c>
    </row>
    <row r="89" customFormat="false" ht="15" hidden="false" customHeight="false" outlineLevel="0" collapsed="false">
      <c r="A89" s="74" t="n">
        <v>2</v>
      </c>
      <c r="B89" s="75" t="n">
        <v>2072640</v>
      </c>
      <c r="C89" s="76" t="n">
        <v>104957</v>
      </c>
      <c r="D89" s="76" t="n">
        <v>0</v>
      </c>
      <c r="E89" s="76" t="n">
        <v>104957</v>
      </c>
      <c r="F89" s="75" t="n">
        <f aca="false">IF(D54="","",IF(2&gt;IF(D57="",10,D57),"",D54*(1+IF(D55="",0,D55))^ROUNDDOWN((2-1)/IF(D56="",5,D56),0)))</f>
        <v>104957</v>
      </c>
      <c r="G89" s="75" t="n">
        <f aca="false">IF(F89="","",IF((IF(D64="",IF($D$35="",0,$D$35),D64))=0,0,MAX(0,2072640-(IF(D65&lt;&gt;"",D65,IF($D$37&lt;&gt;"",$D$37,IF((IF(D64="",IF($D$35="",0,$D$35),D64))=0,0,D54/(IF(D64="",IF($D$35="",0,$D$35),D64)))))))*(IF(D64="",IF($D$35="",0,$D$35),D64))))</f>
        <v>0</v>
      </c>
      <c r="H89" s="75" t="n">
        <f aca="false">IF(F89="","",F89+G89)</f>
        <v>104957</v>
      </c>
      <c r="I89" s="75" t="str">
        <f aca="false">IF(E54="","",IF(2&gt;IF(E57="",10,E57),"",E54*(1+IF(E55="",0,E55))^ROUNDDOWN((2-1)/IF(E56="",5,E56),0)))</f>
        <v/>
      </c>
      <c r="J89" s="75" t="str">
        <f aca="false">IF(I89="","",IF((IF(E64="",IF($D$35="",0,$D$35),E64))=0,0,MAX(0,2072640-(IF(E65&lt;&gt;"",E65,IF($D$37&lt;&gt;"",$D$37,IF((IF(E64="",IF($D$35="",0,$D$35),E64))=0,0,E54/(IF(E64="",IF($D$35="",0,$D$35),E64)))))))*(IF(E64="",IF($D$35="",0,$D$35),E64))))</f>
        <v/>
      </c>
      <c r="K89" s="75" t="str">
        <f aca="false">IF(I89="","",I89+J89)</f>
        <v/>
      </c>
      <c r="L89" s="75" t="str">
        <f aca="false">IF(F54="","",IF(2&gt;IF(F57="",10,F57),"",F54*(1+IF(F55="",0,F55))^ROUNDDOWN((2-1)/IF(F56="",5,F56),0)))</f>
        <v/>
      </c>
      <c r="M89" s="75" t="str">
        <f aca="false">IF(L89="","",IF((IF(F64="",IF($D$35="",0,$D$35),F64))=0,0,MAX(0,2072640-(IF(F65&lt;&gt;"",F65,IF($D$37&lt;&gt;"",$D$37,IF((IF(F64="",IF($D$35="",0,$D$35),F64))=0,0,F54/(IF(F64="",IF($D$35="",0,$D$35),F64)))))))*(IF(F64="",IF($D$35="",0,$D$35),F64))))</f>
        <v/>
      </c>
      <c r="N89" s="75" t="str">
        <f aca="false">IF(L89="","",L89+M89)</f>
        <v/>
      </c>
      <c r="O89" s="75" t="str">
        <f aca="false">IF(G54="","",IF(2&gt;IF(G57="",10,G57),"",G54*(1+IF(G55="",0,G55))^ROUNDDOWN((2-1)/IF(G56="",5,G56),0)))</f>
        <v/>
      </c>
      <c r="P89" s="75" t="str">
        <f aca="false">IF(O89="","",IF((IF(G64="",IF($D$35="",0,$D$35),G64))=0,0,MAX(0,2072640-(IF(G65&lt;&gt;"",G65,IF($D$37&lt;&gt;"",$D$37,IF((IF(G64="",IF($D$35="",0,$D$35),G64))=0,0,G54/(IF(G64="",IF($D$35="",0,$D$35),G64)))))))*(IF(G64="",IF($D$35="",0,$D$35),G64))))</f>
        <v/>
      </c>
      <c r="Q89" s="75" t="str">
        <f aca="false">IF(O89="","",O89+P89)</f>
        <v/>
      </c>
      <c r="R89" s="75" t="str">
        <f aca="false">IF(H54="","",IF(2&gt;IF(H57="",10,H57),"",H54*(1+IF(H55="",0,H55))^ROUNDDOWN((2-1)/IF(H56="",5,H56),0)))</f>
        <v/>
      </c>
      <c r="S89" s="75" t="str">
        <f aca="false">IF(R89="","",IF((IF(H64="",IF($D$35="",0,$D$35),H64))=0,0,MAX(0,2072640-(IF(H65&lt;&gt;"",H65,IF($D$37&lt;&gt;"",$D$37,IF((IF(H64="",IF($D$35="",0,$D$35),H64))=0,0,H54/(IF(H64="",IF($D$35="",0,$D$35),H64)))))))*(IF(H64="",IF($D$35="",0,$D$35),H64))))</f>
        <v/>
      </c>
      <c r="T89" s="75" t="str">
        <f aca="false">IF(R89="","",R89+S89)</f>
        <v/>
      </c>
    </row>
    <row r="90" customFormat="false" ht="15" hidden="false" customHeight="false" outlineLevel="0" collapsed="false">
      <c r="A90" s="74" t="n">
        <v>3</v>
      </c>
      <c r="B90" s="75" t="n">
        <v>2114093</v>
      </c>
      <c r="C90" s="76" t="n">
        <v>104957</v>
      </c>
      <c r="D90" s="76" t="n">
        <v>0</v>
      </c>
      <c r="E90" s="76" t="n">
        <v>104957</v>
      </c>
      <c r="F90" s="75" t="n">
        <f aca="false">IF(D54="","",IF(3&gt;IF(D57="",10,D57),"",D54*(1+IF(D55="",0,D55))^ROUNDDOWN((3-1)/IF(D56="",5,D56),0)))</f>
        <v>104957</v>
      </c>
      <c r="G90" s="75" t="n">
        <f aca="false">IF(F90="","",IF((IF(D64="",IF($D$35="",0,$D$35),D64))=0,0,MAX(0,2114092.8-(IF(D65&lt;&gt;"",D65,IF($D$37&lt;&gt;"",$D$37,IF((IF(D64="",IF($D$35="",0,$D$35),D64))=0,0,D54/(IF(D64="",IF($D$35="",0,$D$35),D64)))))))*(IF(D64="",IF($D$35="",0,$D$35),D64))))</f>
        <v>0</v>
      </c>
      <c r="H90" s="75" t="n">
        <f aca="false">IF(F90="","",F90+G90)</f>
        <v>104957</v>
      </c>
      <c r="I90" s="75" t="str">
        <f aca="false">IF(E54="","",IF(3&gt;IF(E57="",10,E57),"",E54*(1+IF(E55="",0,E55))^ROUNDDOWN((3-1)/IF(E56="",5,E56),0)))</f>
        <v/>
      </c>
      <c r="J90" s="75" t="str">
        <f aca="false">IF(I90="","",IF((IF(E64="",IF($D$35="",0,$D$35),E64))=0,0,MAX(0,2114092.8-(IF(E65&lt;&gt;"",E65,IF($D$37&lt;&gt;"",$D$37,IF((IF(E64="",IF($D$35="",0,$D$35),E64))=0,0,E54/(IF(E64="",IF($D$35="",0,$D$35),E64)))))))*(IF(E64="",IF($D$35="",0,$D$35),E64))))</f>
        <v/>
      </c>
      <c r="K90" s="75" t="str">
        <f aca="false">IF(I90="","",I90+J90)</f>
        <v/>
      </c>
      <c r="L90" s="75" t="str">
        <f aca="false">IF(F54="","",IF(3&gt;IF(F57="",10,F57),"",F54*(1+IF(F55="",0,F55))^ROUNDDOWN((3-1)/IF(F56="",5,F56),0)))</f>
        <v/>
      </c>
      <c r="M90" s="75" t="str">
        <f aca="false">IF(L90="","",IF((IF(F64="",IF($D$35="",0,$D$35),F64))=0,0,MAX(0,2114092.8-(IF(F65&lt;&gt;"",F65,IF($D$37&lt;&gt;"",$D$37,IF((IF(F64="",IF($D$35="",0,$D$35),F64))=0,0,F54/(IF(F64="",IF($D$35="",0,$D$35),F64)))))))*(IF(F64="",IF($D$35="",0,$D$35),F64))))</f>
        <v/>
      </c>
      <c r="N90" s="75" t="str">
        <f aca="false">IF(L90="","",L90+M90)</f>
        <v/>
      </c>
      <c r="O90" s="75" t="str">
        <f aca="false">IF(G54="","",IF(3&gt;IF(G57="",10,G57),"",G54*(1+IF(G55="",0,G55))^ROUNDDOWN((3-1)/IF(G56="",5,G56),0)))</f>
        <v/>
      </c>
      <c r="P90" s="75" t="str">
        <f aca="false">IF(O90="","",IF((IF(G64="",IF($D$35="",0,$D$35),G64))=0,0,MAX(0,2114092.8-(IF(G65&lt;&gt;"",G65,IF($D$37&lt;&gt;"",$D$37,IF((IF(G64="",IF($D$35="",0,$D$35),G64))=0,0,G54/(IF(G64="",IF($D$35="",0,$D$35),G64)))))))*(IF(G64="",IF($D$35="",0,$D$35),G64))))</f>
        <v/>
      </c>
      <c r="Q90" s="75" t="str">
        <f aca="false">IF(O90="","",O90+P90)</f>
        <v/>
      </c>
      <c r="R90" s="75" t="str">
        <f aca="false">IF(H54="","",IF(3&gt;IF(H57="",10,H57),"",H54*(1+IF(H55="",0,H55))^ROUNDDOWN((3-1)/IF(H56="",5,H56),0)))</f>
        <v/>
      </c>
      <c r="S90" s="75" t="str">
        <f aca="false">IF(R90="","",IF((IF(H64="",IF($D$35="",0,$D$35),H64))=0,0,MAX(0,2114092.8-(IF(H65&lt;&gt;"",H65,IF($D$37&lt;&gt;"",$D$37,IF((IF(H64="",IF($D$35="",0,$D$35),H64))=0,0,H54/(IF(H64="",IF($D$35="",0,$D$35),H64)))))))*(IF(H64="",IF($D$35="",0,$D$35),H64))))</f>
        <v/>
      </c>
      <c r="T90" s="75" t="str">
        <f aca="false">IF(R90="","",R90+S90)</f>
        <v/>
      </c>
    </row>
    <row r="91" customFormat="false" ht="15" hidden="false" customHeight="false" outlineLevel="0" collapsed="false">
      <c r="A91" s="74" t="n">
        <v>4</v>
      </c>
      <c r="B91" s="75" t="n">
        <v>2156375</v>
      </c>
      <c r="C91" s="76" t="n">
        <v>104957</v>
      </c>
      <c r="D91" s="76" t="n">
        <v>0</v>
      </c>
      <c r="E91" s="76" t="n">
        <v>104957</v>
      </c>
      <c r="F91" s="75" t="n">
        <f aca="false">IF(D54="","",IF(4&gt;IF(D57="",10,D57),"",D54*(1+IF(D55="",0,D55))^ROUNDDOWN((4-1)/IF(D56="",5,D56),0)))</f>
        <v>104957</v>
      </c>
      <c r="G91" s="75" t="n">
        <f aca="false">IF(F91="","",IF((IF(D64="",IF($D$35="",0,$D$35),D64))=0,0,MAX(0,2156374.66-(IF(D65&lt;&gt;"",D65,IF($D$37&lt;&gt;"",$D$37,IF((IF(D64="",IF($D$35="",0,$D$35),D64))=0,0,D54/(IF(D64="",IF($D$35="",0,$D$35),D64)))))))*(IF(D64="",IF($D$35="",0,$D$35),D64))))</f>
        <v>0</v>
      </c>
      <c r="H91" s="75" t="n">
        <f aca="false">IF(F91="","",F91+G91)</f>
        <v>104957</v>
      </c>
      <c r="I91" s="75" t="str">
        <f aca="false">IF(E54="","",IF(4&gt;IF(E57="",10,E57),"",E54*(1+IF(E55="",0,E55))^ROUNDDOWN((4-1)/IF(E56="",5,E56),0)))</f>
        <v/>
      </c>
      <c r="J91" s="75" t="str">
        <f aca="false">IF(I91="","",IF((IF(E64="",IF($D$35="",0,$D$35),E64))=0,0,MAX(0,2156374.66-(IF(E65&lt;&gt;"",E65,IF($D$37&lt;&gt;"",$D$37,IF((IF(E64="",IF($D$35="",0,$D$35),E64))=0,0,E54/(IF(E64="",IF($D$35="",0,$D$35),E64)))))))*(IF(E64="",IF($D$35="",0,$D$35),E64))))</f>
        <v/>
      </c>
      <c r="K91" s="75" t="str">
        <f aca="false">IF(I91="","",I91+J91)</f>
        <v/>
      </c>
      <c r="L91" s="75" t="str">
        <f aca="false">IF(F54="","",IF(4&gt;IF(F57="",10,F57),"",F54*(1+IF(F55="",0,F55))^ROUNDDOWN((4-1)/IF(F56="",5,F56),0)))</f>
        <v/>
      </c>
      <c r="M91" s="75" t="str">
        <f aca="false">IF(L91="","",IF((IF(F64="",IF($D$35="",0,$D$35),F64))=0,0,MAX(0,2156374.66-(IF(F65&lt;&gt;"",F65,IF($D$37&lt;&gt;"",$D$37,IF((IF(F64="",IF($D$35="",0,$D$35),F64))=0,0,F54/(IF(F64="",IF($D$35="",0,$D$35),F64)))))))*(IF(F64="",IF($D$35="",0,$D$35),F64))))</f>
        <v/>
      </c>
      <c r="N91" s="75" t="str">
        <f aca="false">IF(L91="","",L91+M91)</f>
        <v/>
      </c>
      <c r="O91" s="75" t="str">
        <f aca="false">IF(G54="","",IF(4&gt;IF(G57="",10,G57),"",G54*(1+IF(G55="",0,G55))^ROUNDDOWN((4-1)/IF(G56="",5,G56),0)))</f>
        <v/>
      </c>
      <c r="P91" s="75" t="str">
        <f aca="false">IF(O91="","",IF((IF(G64="",IF($D$35="",0,$D$35),G64))=0,0,MAX(0,2156374.66-(IF(G65&lt;&gt;"",G65,IF($D$37&lt;&gt;"",$D$37,IF((IF(G64="",IF($D$35="",0,$D$35),G64))=0,0,G54/(IF(G64="",IF($D$35="",0,$D$35),G64)))))))*(IF(G64="",IF($D$35="",0,$D$35),G64))))</f>
        <v/>
      </c>
      <c r="Q91" s="75" t="str">
        <f aca="false">IF(O91="","",O91+P91)</f>
        <v/>
      </c>
      <c r="R91" s="75" t="str">
        <f aca="false">IF(H54="","",IF(4&gt;IF(H57="",10,H57),"",H54*(1+IF(H55="",0,H55))^ROUNDDOWN((4-1)/IF(H56="",5,H56),0)))</f>
        <v/>
      </c>
      <c r="S91" s="75" t="str">
        <f aca="false">IF(R91="","",IF((IF(H64="",IF($D$35="",0,$D$35),H64))=0,0,MAX(0,2156374.66-(IF(H65&lt;&gt;"",H65,IF($D$37&lt;&gt;"",$D$37,IF((IF(H64="",IF($D$35="",0,$D$35),H64))=0,0,H54/(IF(H64="",IF($D$35="",0,$D$35),H64)))))))*(IF(H64="",IF($D$35="",0,$D$35),H64))))</f>
        <v/>
      </c>
      <c r="T91" s="75" t="str">
        <f aca="false">IF(R91="","",R91+S91)</f>
        <v/>
      </c>
    </row>
    <row r="92" customFormat="false" ht="15" hidden="false" customHeight="false" outlineLevel="0" collapsed="false">
      <c r="A92" s="74" t="n">
        <v>5</v>
      </c>
      <c r="B92" s="75" t="n">
        <v>2199502</v>
      </c>
      <c r="C92" s="76" t="n">
        <v>104957</v>
      </c>
      <c r="D92" s="76" t="n">
        <v>0</v>
      </c>
      <c r="E92" s="76" t="n">
        <v>104957</v>
      </c>
      <c r="F92" s="75" t="n">
        <f aca="false">IF(D54="","",IF(5&gt;IF(D57="",10,D57),"",D54*(1+IF(D55="",0,D55))^ROUNDDOWN((5-1)/IF(D56="",5,D56),0)))</f>
        <v>104957</v>
      </c>
      <c r="G92" s="75" t="n">
        <f aca="false">IF(F92="","",IF((IF(D64="",IF($D$35="",0,$D$35),D64))=0,0,MAX(0,2199502.15-(IF(D65&lt;&gt;"",D65,IF($D$37&lt;&gt;"",$D$37,IF((IF(D64="",IF($D$35="",0,$D$35),D64))=0,0,D54/(IF(D64="",IF($D$35="",0,$D$35),D64)))))))*(IF(D64="",IF($D$35="",0,$D$35),D64))))</f>
        <v>0</v>
      </c>
      <c r="H92" s="75" t="n">
        <f aca="false">IF(F92="","",F92+G92)</f>
        <v>104957</v>
      </c>
      <c r="I92" s="75" t="str">
        <f aca="false">IF(E54="","",IF(5&gt;IF(E57="",10,E57),"",E54*(1+IF(E55="",0,E55))^ROUNDDOWN((5-1)/IF(E56="",5,E56),0)))</f>
        <v/>
      </c>
      <c r="J92" s="75" t="str">
        <f aca="false">IF(I92="","",IF((IF(E64="",IF($D$35="",0,$D$35),E64))=0,0,MAX(0,2199502.15-(IF(E65&lt;&gt;"",E65,IF($D$37&lt;&gt;"",$D$37,IF((IF(E64="",IF($D$35="",0,$D$35),E64))=0,0,E54/(IF(E64="",IF($D$35="",0,$D$35),E64)))))))*(IF(E64="",IF($D$35="",0,$D$35),E64))))</f>
        <v/>
      </c>
      <c r="K92" s="75" t="str">
        <f aca="false">IF(I92="","",I92+J92)</f>
        <v/>
      </c>
      <c r="L92" s="75" t="str">
        <f aca="false">IF(F54="","",IF(5&gt;IF(F57="",10,F57),"",F54*(1+IF(F55="",0,F55))^ROUNDDOWN((5-1)/IF(F56="",5,F56),0)))</f>
        <v/>
      </c>
      <c r="M92" s="75" t="str">
        <f aca="false">IF(L92="","",IF((IF(F64="",IF($D$35="",0,$D$35),F64))=0,0,MAX(0,2199502.15-(IF(F65&lt;&gt;"",F65,IF($D$37&lt;&gt;"",$D$37,IF((IF(F64="",IF($D$35="",0,$D$35),F64))=0,0,F54/(IF(F64="",IF($D$35="",0,$D$35),F64)))))))*(IF(F64="",IF($D$35="",0,$D$35),F64))))</f>
        <v/>
      </c>
      <c r="N92" s="75" t="str">
        <f aca="false">IF(L92="","",L92+M92)</f>
        <v/>
      </c>
      <c r="O92" s="75" t="str">
        <f aca="false">IF(G54="","",IF(5&gt;IF(G57="",10,G57),"",G54*(1+IF(G55="",0,G55))^ROUNDDOWN((5-1)/IF(G56="",5,G56),0)))</f>
        <v/>
      </c>
      <c r="P92" s="75" t="str">
        <f aca="false">IF(O92="","",IF((IF(G64="",IF($D$35="",0,$D$35),G64))=0,0,MAX(0,2199502.15-(IF(G65&lt;&gt;"",G65,IF($D$37&lt;&gt;"",$D$37,IF((IF(G64="",IF($D$35="",0,$D$35),G64))=0,0,G54/(IF(G64="",IF($D$35="",0,$D$35),G64)))))))*(IF(G64="",IF($D$35="",0,$D$35),G64))))</f>
        <v/>
      </c>
      <c r="Q92" s="75" t="str">
        <f aca="false">IF(O92="","",O92+P92)</f>
        <v/>
      </c>
      <c r="R92" s="75" t="str">
        <f aca="false">IF(H54="","",IF(5&gt;IF(H57="",10,H57),"",H54*(1+IF(H55="",0,H55))^ROUNDDOWN((5-1)/IF(H56="",5,H56),0)))</f>
        <v/>
      </c>
      <c r="S92" s="75" t="str">
        <f aca="false">IF(R92="","",IF((IF(H64="",IF($D$35="",0,$D$35),H64))=0,0,MAX(0,2199502.15-(IF(H65&lt;&gt;"",H65,IF($D$37&lt;&gt;"",$D$37,IF((IF(H64="",IF($D$35="",0,$D$35),H64))=0,0,H54/(IF(H64="",IF($D$35="",0,$D$35),H64)))))))*(IF(H64="",IF($D$35="",0,$D$35),H64))))</f>
        <v/>
      </c>
      <c r="T92" s="75" t="str">
        <f aca="false">IF(R92="","",R92+S92)</f>
        <v/>
      </c>
    </row>
    <row r="93" customFormat="false" ht="15" hidden="false" customHeight="false" outlineLevel="0" collapsed="false">
      <c r="A93" s="74" t="n">
        <v>6</v>
      </c>
      <c r="B93" s="75" t="n">
        <v>2243492</v>
      </c>
      <c r="C93" s="76" t="n">
        <v>115453</v>
      </c>
      <c r="D93" s="76" t="n">
        <v>0</v>
      </c>
      <c r="E93" s="76" t="n">
        <v>115453</v>
      </c>
      <c r="F93" s="75" t="n">
        <f aca="false">IF(D54="","",IF(6&gt;IF(D57="",10,D57),"",D54*(1+IF(D55="",0,D55))^ROUNDDOWN((6-1)/IF(D56="",5,D56),0)))</f>
        <v>107056.14</v>
      </c>
      <c r="G93" s="75" t="n">
        <f aca="false">IF(F93="","",IF((IF(D64="",IF($D$35="",0,$D$35),D64))=0,0,MAX(0,2243492.19-(IF(D65&lt;&gt;"",D65,IF($D$37&lt;&gt;"",$D$37,IF((IF(D64="",IF($D$35="",0,$D$35),D64))=0,0,D54/(IF(D64="",IF($D$35="",0,$D$35),D64)))))))*(IF(D64="",IF($D$35="",0,$D$35),D64))))</f>
        <v>0</v>
      </c>
      <c r="H93" s="75" t="n">
        <f aca="false">IF(F93="","",F93+G93)</f>
        <v>107056.14</v>
      </c>
      <c r="I93" s="75" t="str">
        <f aca="false">IF(E54="","",IF(6&gt;IF(E57="",10,E57),"",E54*(1+IF(E55="",0,E55))^ROUNDDOWN((6-1)/IF(E56="",5,E56),0)))</f>
        <v/>
      </c>
      <c r="J93" s="75" t="str">
        <f aca="false">IF(I93="","",IF((IF(E64="",IF($D$35="",0,$D$35),E64))=0,0,MAX(0,2243492.19-(IF(E65&lt;&gt;"",E65,IF($D$37&lt;&gt;"",$D$37,IF((IF(E64="",IF($D$35="",0,$D$35),E64))=0,0,E54/(IF(E64="",IF($D$35="",0,$D$35),E64)))))))*(IF(E64="",IF($D$35="",0,$D$35),E64))))</f>
        <v/>
      </c>
      <c r="K93" s="75" t="str">
        <f aca="false">IF(I93="","",I93+J93)</f>
        <v/>
      </c>
      <c r="L93" s="75" t="str">
        <f aca="false">IF(F54="","",IF(6&gt;IF(F57="",10,F57),"",F54*(1+IF(F55="",0,F55))^ROUNDDOWN((6-1)/IF(F56="",5,F56),0)))</f>
        <v/>
      </c>
      <c r="M93" s="75" t="str">
        <f aca="false">IF(L93="","",IF((IF(F64="",IF($D$35="",0,$D$35),F64))=0,0,MAX(0,2243492.19-(IF(F65&lt;&gt;"",F65,IF($D$37&lt;&gt;"",$D$37,IF((IF(F64="",IF($D$35="",0,$D$35),F64))=0,0,F54/(IF(F64="",IF($D$35="",0,$D$35),F64)))))))*(IF(F64="",IF($D$35="",0,$D$35),F64))))</f>
        <v/>
      </c>
      <c r="N93" s="75" t="str">
        <f aca="false">IF(L93="","",L93+M93)</f>
        <v/>
      </c>
      <c r="O93" s="75" t="str">
        <f aca="false">IF(G54="","",IF(6&gt;IF(G57="",10,G57),"",G54*(1+IF(G55="",0,G55))^ROUNDDOWN((6-1)/IF(G56="",5,G56),0)))</f>
        <v/>
      </c>
      <c r="P93" s="75" t="str">
        <f aca="false">IF(O93="","",IF((IF(G64="",IF($D$35="",0,$D$35),G64))=0,0,MAX(0,2243492.19-(IF(G65&lt;&gt;"",G65,IF($D$37&lt;&gt;"",$D$37,IF((IF(G64="",IF($D$35="",0,$D$35),G64))=0,0,G54/(IF(G64="",IF($D$35="",0,$D$35),G64)))))))*(IF(G64="",IF($D$35="",0,$D$35),G64))))</f>
        <v/>
      </c>
      <c r="Q93" s="75" t="str">
        <f aca="false">IF(O93="","",O93+P93)</f>
        <v/>
      </c>
      <c r="R93" s="75" t="str">
        <f aca="false">IF(H54="","",IF(6&gt;IF(H57="",10,H57),"",H54*(1+IF(H55="",0,H55))^ROUNDDOWN((6-1)/IF(H56="",5,H56),0)))</f>
        <v/>
      </c>
      <c r="S93" s="75" t="str">
        <f aca="false">IF(R93="","",IF((IF(H64="",IF($D$35="",0,$D$35),H64))=0,0,MAX(0,2243492.19-(IF(H65&lt;&gt;"",H65,IF($D$37&lt;&gt;"",$D$37,IF((IF(H64="",IF($D$35="",0,$D$35),H64))=0,0,H54/(IF(H64="",IF($D$35="",0,$D$35),H64)))))))*(IF(H64="",IF($D$35="",0,$D$35),H64))))</f>
        <v/>
      </c>
      <c r="T93" s="75" t="str">
        <f aca="false">IF(R93="","",R93+S93)</f>
        <v/>
      </c>
    </row>
    <row r="94" customFormat="false" ht="15" hidden="false" customHeight="false" outlineLevel="0" collapsed="false">
      <c r="A94" s="74" t="n">
        <v>7</v>
      </c>
      <c r="B94" s="75" t="n">
        <v>2288362</v>
      </c>
      <c r="C94" s="76" t="n">
        <v>115453</v>
      </c>
      <c r="D94" s="76" t="n">
        <v>0</v>
      </c>
      <c r="E94" s="76" t="n">
        <v>115453</v>
      </c>
      <c r="F94" s="75" t="n">
        <f aca="false">IF(D54="","",IF(7&gt;IF(D57="",10,D57),"",D54*(1+IF(D55="",0,D55))^ROUNDDOWN((7-1)/IF(D56="",5,D56),0)))</f>
        <v>107056.14</v>
      </c>
      <c r="G94" s="75" t="n">
        <f aca="false">IF(F94="","",IF((IF(D64="",IF($D$35="",0,$D$35),D64))=0,0,MAX(0,2288362.04-(IF(D65&lt;&gt;"",D65,IF($D$37&lt;&gt;"",$D$37,IF((IF(D64="",IF($D$35="",0,$D$35),D64))=0,0,D54/(IF(D64="",IF($D$35="",0,$D$35),D64)))))))*(IF(D64="",IF($D$35="",0,$D$35),D64))))</f>
        <v>0</v>
      </c>
      <c r="H94" s="75" t="n">
        <f aca="false">IF(F94="","",F94+G94)</f>
        <v>107056.14</v>
      </c>
      <c r="I94" s="75" t="str">
        <f aca="false">IF(E54="","",IF(7&gt;IF(E57="",10,E57),"",E54*(1+IF(E55="",0,E55))^ROUNDDOWN((7-1)/IF(E56="",5,E56),0)))</f>
        <v/>
      </c>
      <c r="J94" s="75" t="str">
        <f aca="false">IF(I94="","",IF((IF(E64="",IF($D$35="",0,$D$35),E64))=0,0,MAX(0,2288362.04-(IF(E65&lt;&gt;"",E65,IF($D$37&lt;&gt;"",$D$37,IF((IF(E64="",IF($D$35="",0,$D$35),E64))=0,0,E54/(IF(E64="",IF($D$35="",0,$D$35),E64)))))))*(IF(E64="",IF($D$35="",0,$D$35),E64))))</f>
        <v/>
      </c>
      <c r="K94" s="75" t="str">
        <f aca="false">IF(I94="","",I94+J94)</f>
        <v/>
      </c>
      <c r="L94" s="75" t="str">
        <f aca="false">IF(F54="","",IF(7&gt;IF(F57="",10,F57),"",F54*(1+IF(F55="",0,F55))^ROUNDDOWN((7-1)/IF(F56="",5,F56),0)))</f>
        <v/>
      </c>
      <c r="M94" s="75" t="str">
        <f aca="false">IF(L94="","",IF((IF(F64="",IF($D$35="",0,$D$35),F64))=0,0,MAX(0,2288362.04-(IF(F65&lt;&gt;"",F65,IF($D$37&lt;&gt;"",$D$37,IF((IF(F64="",IF($D$35="",0,$D$35),F64))=0,0,F54/(IF(F64="",IF($D$35="",0,$D$35),F64)))))))*(IF(F64="",IF($D$35="",0,$D$35),F64))))</f>
        <v/>
      </c>
      <c r="N94" s="75" t="str">
        <f aca="false">IF(L94="","",L94+M94)</f>
        <v/>
      </c>
      <c r="O94" s="75" t="str">
        <f aca="false">IF(G54="","",IF(7&gt;IF(G57="",10,G57),"",G54*(1+IF(G55="",0,G55))^ROUNDDOWN((7-1)/IF(G56="",5,G56),0)))</f>
        <v/>
      </c>
      <c r="P94" s="75" t="str">
        <f aca="false">IF(O94="","",IF((IF(G64="",IF($D$35="",0,$D$35),G64))=0,0,MAX(0,2288362.04-(IF(G65&lt;&gt;"",G65,IF($D$37&lt;&gt;"",$D$37,IF((IF(G64="",IF($D$35="",0,$D$35),G64))=0,0,G54/(IF(G64="",IF($D$35="",0,$D$35),G64)))))))*(IF(G64="",IF($D$35="",0,$D$35),G64))))</f>
        <v/>
      </c>
      <c r="Q94" s="75" t="str">
        <f aca="false">IF(O94="","",O94+P94)</f>
        <v/>
      </c>
      <c r="R94" s="75" t="str">
        <f aca="false">IF(H54="","",IF(7&gt;IF(H57="",10,H57),"",H54*(1+IF(H55="",0,H55))^ROUNDDOWN((7-1)/IF(H56="",5,H56),0)))</f>
        <v/>
      </c>
      <c r="S94" s="75" t="str">
        <f aca="false">IF(R94="","",IF((IF(H64="",IF($D$35="",0,$D$35),H64))=0,0,MAX(0,2288362.04-(IF(H65&lt;&gt;"",H65,IF($D$37&lt;&gt;"",$D$37,IF((IF(H64="",IF($D$35="",0,$D$35),H64))=0,0,H54/(IF(H64="",IF($D$35="",0,$D$35),H64)))))))*(IF(H64="",IF($D$35="",0,$D$35),H64))))</f>
        <v/>
      </c>
      <c r="T94" s="75" t="str">
        <f aca="false">IF(R94="","",R94+S94)</f>
        <v/>
      </c>
    </row>
    <row r="95" customFormat="false" ht="15" hidden="false" customHeight="false" outlineLevel="0" collapsed="false">
      <c r="A95" s="74" t="n">
        <v>8</v>
      </c>
      <c r="B95" s="75" t="n">
        <v>2334129</v>
      </c>
      <c r="C95" s="76" t="n">
        <v>115453</v>
      </c>
      <c r="D95" s="76" t="n">
        <v>0</v>
      </c>
      <c r="E95" s="76" t="n">
        <v>115453</v>
      </c>
      <c r="F95" s="75" t="n">
        <f aca="false">IF(D54="","",IF(8&gt;IF(D57="",10,D57),"",D54*(1+IF(D55="",0,D55))^ROUNDDOWN((8-1)/IF(D56="",5,D56),0)))</f>
        <v>107056.14</v>
      </c>
      <c r="G95" s="75" t="n">
        <f aca="false">IF(F95="","",IF((IF(D64="",IF($D$35="",0,$D$35),D64))=0,0,MAX(0,2334129.28-(IF(D65&lt;&gt;"",D65,IF($D$37&lt;&gt;"",$D$37,IF((IF(D64="",IF($D$35="",0,$D$35),D64))=0,0,D54/(IF(D64="",IF($D$35="",0,$D$35),D64)))))))*(IF(D64="",IF($D$35="",0,$D$35),D64))))</f>
        <v>0</v>
      </c>
      <c r="H95" s="75" t="n">
        <f aca="false">IF(F95="","",F95+G95)</f>
        <v>107056.14</v>
      </c>
      <c r="I95" s="75" t="str">
        <f aca="false">IF(E54="","",IF(8&gt;IF(E57="",10,E57),"",E54*(1+IF(E55="",0,E55))^ROUNDDOWN((8-1)/IF(E56="",5,E56),0)))</f>
        <v/>
      </c>
      <c r="J95" s="75" t="str">
        <f aca="false">IF(I95="","",IF((IF(E64="",IF($D$35="",0,$D$35),E64))=0,0,MAX(0,2334129.28-(IF(E65&lt;&gt;"",E65,IF($D$37&lt;&gt;"",$D$37,IF((IF(E64="",IF($D$35="",0,$D$35),E64))=0,0,E54/(IF(E64="",IF($D$35="",0,$D$35),E64)))))))*(IF(E64="",IF($D$35="",0,$D$35),E64))))</f>
        <v/>
      </c>
      <c r="K95" s="75" t="str">
        <f aca="false">IF(I95="","",I95+J95)</f>
        <v/>
      </c>
      <c r="L95" s="75" t="str">
        <f aca="false">IF(F54="","",IF(8&gt;IF(F57="",10,F57),"",F54*(1+IF(F55="",0,F55))^ROUNDDOWN((8-1)/IF(F56="",5,F56),0)))</f>
        <v/>
      </c>
      <c r="M95" s="75" t="str">
        <f aca="false">IF(L95="","",IF((IF(F64="",IF($D$35="",0,$D$35),F64))=0,0,MAX(0,2334129.28-(IF(F65&lt;&gt;"",F65,IF($D$37&lt;&gt;"",$D$37,IF((IF(F64="",IF($D$35="",0,$D$35),F64))=0,0,F54/(IF(F64="",IF($D$35="",0,$D$35),F64)))))))*(IF(F64="",IF($D$35="",0,$D$35),F64))))</f>
        <v/>
      </c>
      <c r="N95" s="75" t="str">
        <f aca="false">IF(L95="","",L95+M95)</f>
        <v/>
      </c>
      <c r="O95" s="75" t="str">
        <f aca="false">IF(G54="","",IF(8&gt;IF(G57="",10,G57),"",G54*(1+IF(G55="",0,G55))^ROUNDDOWN((8-1)/IF(G56="",5,G56),0)))</f>
        <v/>
      </c>
      <c r="P95" s="75" t="str">
        <f aca="false">IF(O95="","",IF((IF(G64="",IF($D$35="",0,$D$35),G64))=0,0,MAX(0,2334129.28-(IF(G65&lt;&gt;"",G65,IF($D$37&lt;&gt;"",$D$37,IF((IF(G64="",IF($D$35="",0,$D$35),G64))=0,0,G54/(IF(G64="",IF($D$35="",0,$D$35),G64)))))))*(IF(G64="",IF($D$35="",0,$D$35),G64))))</f>
        <v/>
      </c>
      <c r="Q95" s="75" t="str">
        <f aca="false">IF(O95="","",O95+P95)</f>
        <v/>
      </c>
      <c r="R95" s="75" t="str">
        <f aca="false">IF(H54="","",IF(8&gt;IF(H57="",10,H57),"",H54*(1+IF(H55="",0,H55))^ROUNDDOWN((8-1)/IF(H56="",5,H56),0)))</f>
        <v/>
      </c>
      <c r="S95" s="75" t="str">
        <f aca="false">IF(R95="","",IF((IF(H64="",IF($D$35="",0,$D$35),H64))=0,0,MAX(0,2334129.28-(IF(H65&lt;&gt;"",H65,IF($D$37&lt;&gt;"",$D$37,IF((IF(H64="",IF($D$35="",0,$D$35),H64))=0,0,H54/(IF(H64="",IF($D$35="",0,$D$35),H64)))))))*(IF(H64="",IF($D$35="",0,$D$35),H64))))</f>
        <v/>
      </c>
      <c r="T95" s="75" t="str">
        <f aca="false">IF(R95="","",R95+S95)</f>
        <v/>
      </c>
    </row>
    <row r="96" customFormat="false" ht="15" hidden="false" customHeight="false" outlineLevel="0" collapsed="false">
      <c r="A96" s="74" t="n">
        <v>9</v>
      </c>
      <c r="B96" s="75" t="n">
        <v>2380812</v>
      </c>
      <c r="C96" s="76" t="n">
        <v>115453</v>
      </c>
      <c r="D96" s="76" t="n">
        <v>0</v>
      </c>
      <c r="E96" s="76" t="n">
        <v>115453</v>
      </c>
      <c r="F96" s="75" t="n">
        <f aca="false">IF(D54="","",IF(9&gt;IF(D57="",10,D57),"",D54*(1+IF(D55="",0,D55))^ROUNDDOWN((9-1)/IF(D56="",5,D56),0)))</f>
        <v>107056.14</v>
      </c>
      <c r="G96" s="75" t="n">
        <f aca="false">IF(F96="","",IF((IF(D64="",IF($D$35="",0,$D$35),D64))=0,0,MAX(0,2380811.86-(IF(D65&lt;&gt;"",D65,IF($D$37&lt;&gt;"",$D$37,IF((IF(D64="",IF($D$35="",0,$D$35),D64))=0,0,D54/(IF(D64="",IF($D$35="",0,$D$35),D64)))))))*(IF(D64="",IF($D$35="",0,$D$35),D64))))</f>
        <v>0</v>
      </c>
      <c r="H96" s="75" t="n">
        <f aca="false">IF(F96="","",F96+G96)</f>
        <v>107056.14</v>
      </c>
      <c r="I96" s="75" t="str">
        <f aca="false">IF(E54="","",IF(9&gt;IF(E57="",10,E57),"",E54*(1+IF(E55="",0,E55))^ROUNDDOWN((9-1)/IF(E56="",5,E56),0)))</f>
        <v/>
      </c>
      <c r="J96" s="75" t="str">
        <f aca="false">IF(I96="","",IF((IF(E64="",IF($D$35="",0,$D$35),E64))=0,0,MAX(0,2380811.86-(IF(E65&lt;&gt;"",E65,IF($D$37&lt;&gt;"",$D$37,IF((IF(E64="",IF($D$35="",0,$D$35),E64))=0,0,E54/(IF(E64="",IF($D$35="",0,$D$35),E64)))))))*(IF(E64="",IF($D$35="",0,$D$35),E64))))</f>
        <v/>
      </c>
      <c r="K96" s="75" t="str">
        <f aca="false">IF(I96="","",I96+J96)</f>
        <v/>
      </c>
      <c r="L96" s="75" t="str">
        <f aca="false">IF(F54="","",IF(9&gt;IF(F57="",10,F57),"",F54*(1+IF(F55="",0,F55))^ROUNDDOWN((9-1)/IF(F56="",5,F56),0)))</f>
        <v/>
      </c>
      <c r="M96" s="75" t="str">
        <f aca="false">IF(L96="","",IF((IF(F64="",IF($D$35="",0,$D$35),F64))=0,0,MAX(0,2380811.86-(IF(F65&lt;&gt;"",F65,IF($D$37&lt;&gt;"",$D$37,IF((IF(F64="",IF($D$35="",0,$D$35),F64))=0,0,F54/(IF(F64="",IF($D$35="",0,$D$35),F64)))))))*(IF(F64="",IF($D$35="",0,$D$35),F64))))</f>
        <v/>
      </c>
      <c r="N96" s="75" t="str">
        <f aca="false">IF(L96="","",L96+M96)</f>
        <v/>
      </c>
      <c r="O96" s="75" t="str">
        <f aca="false">IF(G54="","",IF(9&gt;IF(G57="",10,G57),"",G54*(1+IF(G55="",0,G55))^ROUNDDOWN((9-1)/IF(G56="",5,G56),0)))</f>
        <v/>
      </c>
      <c r="P96" s="75" t="str">
        <f aca="false">IF(O96="","",IF((IF(G64="",IF($D$35="",0,$D$35),G64))=0,0,MAX(0,2380811.86-(IF(G65&lt;&gt;"",G65,IF($D$37&lt;&gt;"",$D$37,IF((IF(G64="",IF($D$35="",0,$D$35),G64))=0,0,G54/(IF(G64="",IF($D$35="",0,$D$35),G64)))))))*(IF(G64="",IF($D$35="",0,$D$35),G64))))</f>
        <v/>
      </c>
      <c r="Q96" s="75" t="str">
        <f aca="false">IF(O96="","",O96+P96)</f>
        <v/>
      </c>
      <c r="R96" s="75" t="str">
        <f aca="false">IF(H54="","",IF(9&gt;IF(H57="",10,H57),"",H54*(1+IF(H55="",0,H55))^ROUNDDOWN((9-1)/IF(H56="",5,H56),0)))</f>
        <v/>
      </c>
      <c r="S96" s="75" t="str">
        <f aca="false">IF(R96="","",IF((IF(H64="",IF($D$35="",0,$D$35),H64))=0,0,MAX(0,2380811.86-(IF(H65&lt;&gt;"",H65,IF($D$37&lt;&gt;"",$D$37,IF((IF(H64="",IF($D$35="",0,$D$35),H64))=0,0,H54/(IF(H64="",IF($D$35="",0,$D$35),H64)))))))*(IF(H64="",IF($D$35="",0,$D$35),H64))))</f>
        <v/>
      </c>
      <c r="T96" s="75" t="str">
        <f aca="false">IF(R96="","",R96+S96)</f>
        <v/>
      </c>
    </row>
    <row r="97" customFormat="false" ht="15" hidden="false" customHeight="false" outlineLevel="0" collapsed="false">
      <c r="A97" s="74" t="n">
        <v>10</v>
      </c>
      <c r="B97" s="75" t="n">
        <v>2428428</v>
      </c>
      <c r="C97" s="76" t="n">
        <v>115453</v>
      </c>
      <c r="D97" s="76" t="n">
        <v>0</v>
      </c>
      <c r="E97" s="76" t="n">
        <v>115453</v>
      </c>
      <c r="F97" s="75" t="n">
        <f aca="false">IF(D54="","",IF(10&gt;IF(D57="",10,D57),"",D54*(1+IF(D55="",0,D55))^ROUNDDOWN((10-1)/IF(D56="",5,D56),0)))</f>
        <v>107056.14</v>
      </c>
      <c r="G97" s="75" t="n">
        <f aca="false">IF(F97="","",IF((IF(D64="",IF($D$35="",0,$D$35),D64))=0,0,MAX(0,2428428.1-(IF(D65&lt;&gt;"",D65,IF($D$37&lt;&gt;"",$D$37,IF((IF(D64="",IF($D$35="",0,$D$35),D64))=0,0,D54/(IF(D64="",IF($D$35="",0,$D$35),D64)))))))*(IF(D64="",IF($D$35="",0,$D$35),D64))))</f>
        <v>0</v>
      </c>
      <c r="H97" s="75" t="n">
        <f aca="false">IF(F97="","",F97+G97)</f>
        <v>107056.14</v>
      </c>
      <c r="I97" s="75" t="str">
        <f aca="false">IF(E54="","",IF(10&gt;IF(E57="",10,E57),"",E54*(1+IF(E55="",0,E55))^ROUNDDOWN((10-1)/IF(E56="",5,E56),0)))</f>
        <v/>
      </c>
      <c r="J97" s="75" t="str">
        <f aca="false">IF(I97="","",IF((IF(E64="",IF($D$35="",0,$D$35),E64))=0,0,MAX(0,2428428.1-(IF(E65&lt;&gt;"",E65,IF($D$37&lt;&gt;"",$D$37,IF((IF(E64="",IF($D$35="",0,$D$35),E64))=0,0,E54/(IF(E64="",IF($D$35="",0,$D$35),E64)))))))*(IF(E64="",IF($D$35="",0,$D$35),E64))))</f>
        <v/>
      </c>
      <c r="K97" s="75" t="str">
        <f aca="false">IF(I97="","",I97+J97)</f>
        <v/>
      </c>
      <c r="L97" s="75" t="str">
        <f aca="false">IF(F54="","",IF(10&gt;IF(F57="",10,F57),"",F54*(1+IF(F55="",0,F55))^ROUNDDOWN((10-1)/IF(F56="",5,F56),0)))</f>
        <v/>
      </c>
      <c r="M97" s="75" t="str">
        <f aca="false">IF(L97="","",IF((IF(F64="",IF($D$35="",0,$D$35),F64))=0,0,MAX(0,2428428.1-(IF(F65&lt;&gt;"",F65,IF($D$37&lt;&gt;"",$D$37,IF((IF(F64="",IF($D$35="",0,$D$35),F64))=0,0,F54/(IF(F64="",IF($D$35="",0,$D$35),F64)))))))*(IF(F64="",IF($D$35="",0,$D$35),F64))))</f>
        <v/>
      </c>
      <c r="N97" s="75" t="str">
        <f aca="false">IF(L97="","",L97+M97)</f>
        <v/>
      </c>
      <c r="O97" s="75" t="str">
        <f aca="false">IF(G54="","",IF(10&gt;IF(G57="",10,G57),"",G54*(1+IF(G55="",0,G55))^ROUNDDOWN((10-1)/IF(G56="",5,G56),0)))</f>
        <v/>
      </c>
      <c r="P97" s="75" t="str">
        <f aca="false">IF(O97="","",IF((IF(G64="",IF($D$35="",0,$D$35),G64))=0,0,MAX(0,2428428.1-(IF(G65&lt;&gt;"",G65,IF($D$37&lt;&gt;"",$D$37,IF((IF(G64="",IF($D$35="",0,$D$35),G64))=0,0,G54/(IF(G64="",IF($D$35="",0,$D$35),G64)))))))*(IF(G64="",IF($D$35="",0,$D$35),G64))))</f>
        <v/>
      </c>
      <c r="Q97" s="75" t="str">
        <f aca="false">IF(O97="","",O97+P97)</f>
        <v/>
      </c>
      <c r="R97" s="75" t="str">
        <f aca="false">IF(H54="","",IF(10&gt;IF(H57="",10,H57),"",H54*(1+IF(H55="",0,H55))^ROUNDDOWN((10-1)/IF(H56="",5,H56),0)))</f>
        <v/>
      </c>
      <c r="S97" s="75" t="str">
        <f aca="false">IF(R97="","",IF((IF(H64="",IF($D$35="",0,$D$35),H64))=0,0,MAX(0,2428428.1-(IF(H65&lt;&gt;"",H65,IF($D$37&lt;&gt;"",$D$37,IF((IF(H64="",IF($D$35="",0,$D$35),H64))=0,0,H54/(IF(H64="",IF($D$35="",0,$D$35),H64)))))))*(IF(H64="",IF($D$35="",0,$D$35),H64))))</f>
        <v/>
      </c>
      <c r="T97" s="75" t="str">
        <f aca="false">IF(R97="","",R97+S97)</f>
        <v/>
      </c>
    </row>
    <row r="98" customFormat="false" ht="15" hidden="false" customHeight="false" outlineLevel="0" collapsed="false">
      <c r="A98" s="74" t="n">
        <v>11</v>
      </c>
      <c r="B98" s="75" t="n">
        <v>2476997</v>
      </c>
      <c r="C98" s="76" t="n">
        <v>126999</v>
      </c>
      <c r="D98" s="76" t="n">
        <v>0</v>
      </c>
      <c r="E98" s="76" t="n">
        <v>126999</v>
      </c>
      <c r="F98" s="75" t="n">
        <f aca="false">IF(D54="","",IF(11&gt;IF(D57="",10,D57),"",D54*(1+IF(D55="",0,D55))^ROUNDDOWN((11-1)/IF(D56="",5,D56),0)))</f>
        <v>109197.2628</v>
      </c>
      <c r="G98" s="75" t="n">
        <f aca="false">IF(F98="","",IF((IF(D64="",IF($D$35="",0,$D$35),D64))=0,0,MAX(0,2476996.66-(IF(D65&lt;&gt;"",D65,IF($D$37&lt;&gt;"",$D$37,IF((IF(D64="",IF($D$35="",0,$D$35),D64))=0,0,D54/(IF(D64="",IF($D$35="",0,$D$35),D64)))))))*(IF(D64="",IF($D$35="",0,$D$35),D64))))</f>
        <v>0</v>
      </c>
      <c r="H98" s="75" t="n">
        <f aca="false">IF(F98="","",F98+G98)</f>
        <v>109197.2628</v>
      </c>
      <c r="I98" s="75" t="str">
        <f aca="false">IF(E54="","",IF(11&gt;IF(E57="",10,E57),"",E54*(1+IF(E55="",0,E55))^ROUNDDOWN((11-1)/IF(E56="",5,E56),0)))</f>
        <v/>
      </c>
      <c r="J98" s="75" t="str">
        <f aca="false">IF(I98="","",IF((IF(E64="",IF($D$35="",0,$D$35),E64))=0,0,MAX(0,2476996.66-(IF(E65&lt;&gt;"",E65,IF($D$37&lt;&gt;"",$D$37,IF((IF(E64="",IF($D$35="",0,$D$35),E64))=0,0,E54/(IF(E64="",IF($D$35="",0,$D$35),E64)))))))*(IF(E64="",IF($D$35="",0,$D$35),E64))))</f>
        <v/>
      </c>
      <c r="K98" s="75" t="str">
        <f aca="false">IF(I98="","",I98+J98)</f>
        <v/>
      </c>
      <c r="L98" s="75" t="str">
        <f aca="false">IF(F54="","",IF(11&gt;IF(F57="",10,F57),"",F54*(1+IF(F55="",0,F55))^ROUNDDOWN((11-1)/IF(F56="",5,F56),0)))</f>
        <v/>
      </c>
      <c r="M98" s="75" t="str">
        <f aca="false">IF(L98="","",IF((IF(F64="",IF($D$35="",0,$D$35),F64))=0,0,MAX(0,2476996.66-(IF(F65&lt;&gt;"",F65,IF($D$37&lt;&gt;"",$D$37,IF((IF(F64="",IF($D$35="",0,$D$35),F64))=0,0,F54/(IF(F64="",IF($D$35="",0,$D$35),F64)))))))*(IF(F64="",IF($D$35="",0,$D$35),F64))))</f>
        <v/>
      </c>
      <c r="N98" s="75" t="str">
        <f aca="false">IF(L98="","",L98+M98)</f>
        <v/>
      </c>
      <c r="O98" s="75" t="str">
        <f aca="false">IF(G54="","",IF(11&gt;IF(G57="",10,G57),"",G54*(1+IF(G55="",0,G55))^ROUNDDOWN((11-1)/IF(G56="",5,G56),0)))</f>
        <v/>
      </c>
      <c r="P98" s="75" t="str">
        <f aca="false">IF(O98="","",IF((IF(G64="",IF($D$35="",0,$D$35),G64))=0,0,MAX(0,2476996.66-(IF(G65&lt;&gt;"",G65,IF($D$37&lt;&gt;"",$D$37,IF((IF(G64="",IF($D$35="",0,$D$35),G64))=0,0,G54/(IF(G64="",IF($D$35="",0,$D$35),G64)))))))*(IF(G64="",IF($D$35="",0,$D$35),G64))))</f>
        <v/>
      </c>
      <c r="Q98" s="75" t="str">
        <f aca="false">IF(O98="","",O98+P98)</f>
        <v/>
      </c>
      <c r="R98" s="75" t="str">
        <f aca="false">IF(H54="","",IF(11&gt;IF(H57="",10,H57),"",H54*(1+IF(H55="",0,H55))^ROUNDDOWN((11-1)/IF(H56="",5,H56),0)))</f>
        <v/>
      </c>
      <c r="S98" s="75" t="str">
        <f aca="false">IF(R98="","",IF((IF(H64="",IF($D$35="",0,$D$35),H64))=0,0,MAX(0,2476996.66-(IF(H65&lt;&gt;"",H65,IF($D$37&lt;&gt;"",$D$37,IF((IF(H64="",IF($D$35="",0,$D$35),H64))=0,0,H54/(IF(H64="",IF($D$35="",0,$D$35),H64)))))))*(IF(H64="",IF($D$35="",0,$D$35),H64))))</f>
        <v/>
      </c>
      <c r="T98" s="75" t="str">
        <f aca="false">IF(R98="","",R98+S98)</f>
        <v/>
      </c>
    </row>
    <row r="99" customFormat="false" ht="15" hidden="false" customHeight="false" outlineLevel="0" collapsed="false">
      <c r="A99" s="74" t="n">
        <v>12</v>
      </c>
      <c r="B99" s="75" t="n">
        <v>2526537</v>
      </c>
      <c r="C99" s="76" t="n">
        <v>126999</v>
      </c>
      <c r="D99" s="76" t="n">
        <v>0</v>
      </c>
      <c r="E99" s="76" t="n">
        <v>126999</v>
      </c>
      <c r="F99" s="75" t="n">
        <f aca="false">IF(D54="","",IF(12&gt;IF(D57="",10,D57),"",D54*(1+IF(D55="",0,D55))^ROUNDDOWN((12-1)/IF(D56="",5,D56),0)))</f>
        <v>109197.2628</v>
      </c>
      <c r="G99" s="75" t="n">
        <f aca="false">IF(F99="","",IF((IF(D64="",IF($D$35="",0,$D$35),D64))=0,0,MAX(0,2526536.59-(IF(D65&lt;&gt;"",D65,IF($D$37&lt;&gt;"",$D$37,IF((IF(D64="",IF($D$35="",0,$D$35),D64))=0,0,D54/(IF(D64="",IF($D$35="",0,$D$35),D64)))))))*(IF(D64="",IF($D$35="",0,$D$35),D64))))</f>
        <v>0</v>
      </c>
      <c r="H99" s="75" t="n">
        <f aca="false">IF(F99="","",F99+G99)</f>
        <v>109197.2628</v>
      </c>
      <c r="I99" s="75" t="str">
        <f aca="false">IF(E54="","",IF(12&gt;IF(E57="",10,E57),"",E54*(1+IF(E55="",0,E55))^ROUNDDOWN((12-1)/IF(E56="",5,E56),0)))</f>
        <v/>
      </c>
      <c r="J99" s="75" t="str">
        <f aca="false">IF(I99="","",IF((IF(E64="",IF($D$35="",0,$D$35),E64))=0,0,MAX(0,2526536.59-(IF(E65&lt;&gt;"",E65,IF($D$37&lt;&gt;"",$D$37,IF((IF(E64="",IF($D$35="",0,$D$35),E64))=0,0,E54/(IF(E64="",IF($D$35="",0,$D$35),E64)))))))*(IF(E64="",IF($D$35="",0,$D$35),E64))))</f>
        <v/>
      </c>
      <c r="K99" s="75" t="str">
        <f aca="false">IF(I99="","",I99+J99)</f>
        <v/>
      </c>
      <c r="L99" s="75" t="str">
        <f aca="false">IF(F54="","",IF(12&gt;IF(F57="",10,F57),"",F54*(1+IF(F55="",0,F55))^ROUNDDOWN((12-1)/IF(F56="",5,F56),0)))</f>
        <v/>
      </c>
      <c r="M99" s="75" t="str">
        <f aca="false">IF(L99="","",IF((IF(F64="",IF($D$35="",0,$D$35),F64))=0,0,MAX(0,2526536.59-(IF(F65&lt;&gt;"",F65,IF($D$37&lt;&gt;"",$D$37,IF((IF(F64="",IF($D$35="",0,$D$35),F64))=0,0,F54/(IF(F64="",IF($D$35="",0,$D$35),F64)))))))*(IF(F64="",IF($D$35="",0,$D$35),F64))))</f>
        <v/>
      </c>
      <c r="N99" s="75" t="str">
        <f aca="false">IF(L99="","",L99+M99)</f>
        <v/>
      </c>
      <c r="O99" s="75" t="str">
        <f aca="false">IF(G54="","",IF(12&gt;IF(G57="",10,G57),"",G54*(1+IF(G55="",0,G55))^ROUNDDOWN((12-1)/IF(G56="",5,G56),0)))</f>
        <v/>
      </c>
      <c r="P99" s="75" t="str">
        <f aca="false">IF(O99="","",IF((IF(G64="",IF($D$35="",0,$D$35),G64))=0,0,MAX(0,2526536.59-(IF(G65&lt;&gt;"",G65,IF($D$37&lt;&gt;"",$D$37,IF((IF(G64="",IF($D$35="",0,$D$35),G64))=0,0,G54/(IF(G64="",IF($D$35="",0,$D$35),G64)))))))*(IF(G64="",IF($D$35="",0,$D$35),G64))))</f>
        <v/>
      </c>
      <c r="Q99" s="75" t="str">
        <f aca="false">IF(O99="","",O99+P99)</f>
        <v/>
      </c>
      <c r="R99" s="75" t="str">
        <f aca="false">IF(H54="","",IF(12&gt;IF(H57="",10,H57),"",H54*(1+IF(H55="",0,H55))^ROUNDDOWN((12-1)/IF(H56="",5,H56),0)))</f>
        <v/>
      </c>
      <c r="S99" s="75" t="str">
        <f aca="false">IF(R99="","",IF((IF(H64="",IF($D$35="",0,$D$35),H64))=0,0,MAX(0,2526536.59-(IF(H65&lt;&gt;"",H65,IF($D$37&lt;&gt;"",$D$37,IF((IF(H64="",IF($D$35="",0,$D$35),H64))=0,0,H54/(IF(H64="",IF($D$35="",0,$D$35),H64)))))))*(IF(H64="",IF($D$35="",0,$D$35),H64))))</f>
        <v/>
      </c>
      <c r="T99" s="75" t="str">
        <f aca="false">IF(R99="","",R99+S99)</f>
        <v/>
      </c>
    </row>
    <row r="100" customFormat="false" ht="15" hidden="false" customHeight="false" outlineLevel="0" collapsed="false">
      <c r="A100" s="74" t="n">
        <v>13</v>
      </c>
      <c r="B100" s="75" t="n">
        <v>2577067</v>
      </c>
      <c r="C100" s="76" t="n">
        <v>126999</v>
      </c>
      <c r="D100" s="76" t="n">
        <v>0</v>
      </c>
      <c r="E100" s="76" t="n">
        <v>126999</v>
      </c>
      <c r="F100" s="75" t="n">
        <f aca="false">IF(D54="","",IF(13&gt;IF(D57="",10,D57),"",D54*(1+IF(D55="",0,D55))^ROUNDDOWN((13-1)/IF(D56="",5,D56),0)))</f>
        <v>109197.2628</v>
      </c>
      <c r="G100" s="75" t="n">
        <f aca="false">IF(F100="","",IF((IF(D64="",IF($D$35="",0,$D$35),D64))=0,0,MAX(0,2577067.33-(IF(D65&lt;&gt;"",D65,IF($D$37&lt;&gt;"",$D$37,IF((IF(D64="",IF($D$35="",0,$D$35),D64))=0,0,D54/(IF(D64="",IF($D$35="",0,$D$35),D64)))))))*(IF(D64="",IF($D$35="",0,$D$35),D64))))</f>
        <v>0</v>
      </c>
      <c r="H100" s="75" t="n">
        <f aca="false">IF(F100="","",F100+G100)</f>
        <v>109197.2628</v>
      </c>
      <c r="I100" s="75" t="str">
        <f aca="false">IF(E54="","",IF(13&gt;IF(E57="",10,E57),"",E54*(1+IF(E55="",0,E55))^ROUNDDOWN((13-1)/IF(E56="",5,E56),0)))</f>
        <v/>
      </c>
      <c r="J100" s="75" t="str">
        <f aca="false">IF(I100="","",IF((IF(E64="",IF($D$35="",0,$D$35),E64))=0,0,MAX(0,2577067.33-(IF(E65&lt;&gt;"",E65,IF($D$37&lt;&gt;"",$D$37,IF((IF(E64="",IF($D$35="",0,$D$35),E64))=0,0,E54/(IF(E64="",IF($D$35="",0,$D$35),E64)))))))*(IF(E64="",IF($D$35="",0,$D$35),E64))))</f>
        <v/>
      </c>
      <c r="K100" s="75" t="str">
        <f aca="false">IF(I100="","",I100+J100)</f>
        <v/>
      </c>
      <c r="L100" s="75" t="str">
        <f aca="false">IF(F54="","",IF(13&gt;IF(F57="",10,F57),"",F54*(1+IF(F55="",0,F55))^ROUNDDOWN((13-1)/IF(F56="",5,F56),0)))</f>
        <v/>
      </c>
      <c r="M100" s="75" t="str">
        <f aca="false">IF(L100="","",IF((IF(F64="",IF($D$35="",0,$D$35),F64))=0,0,MAX(0,2577067.33-(IF(F65&lt;&gt;"",F65,IF($D$37&lt;&gt;"",$D$37,IF((IF(F64="",IF($D$35="",0,$D$35),F64))=0,0,F54/(IF(F64="",IF($D$35="",0,$D$35),F64)))))))*(IF(F64="",IF($D$35="",0,$D$35),F64))))</f>
        <v/>
      </c>
      <c r="N100" s="75" t="str">
        <f aca="false">IF(L100="","",L100+M100)</f>
        <v/>
      </c>
      <c r="O100" s="75" t="str">
        <f aca="false">IF(G54="","",IF(13&gt;IF(G57="",10,G57),"",G54*(1+IF(G55="",0,G55))^ROUNDDOWN((13-1)/IF(G56="",5,G56),0)))</f>
        <v/>
      </c>
      <c r="P100" s="75" t="str">
        <f aca="false">IF(O100="","",IF((IF(G64="",IF($D$35="",0,$D$35),G64))=0,0,MAX(0,2577067.33-(IF(G65&lt;&gt;"",G65,IF($D$37&lt;&gt;"",$D$37,IF((IF(G64="",IF($D$35="",0,$D$35),G64))=0,0,G54/(IF(G64="",IF($D$35="",0,$D$35),G64)))))))*(IF(G64="",IF($D$35="",0,$D$35),G64))))</f>
        <v/>
      </c>
      <c r="Q100" s="75" t="str">
        <f aca="false">IF(O100="","",O100+P100)</f>
        <v/>
      </c>
      <c r="R100" s="75" t="str">
        <f aca="false">IF(H54="","",IF(13&gt;IF(H57="",10,H57),"",H54*(1+IF(H55="",0,H55))^ROUNDDOWN((13-1)/IF(H56="",5,H56),0)))</f>
        <v/>
      </c>
      <c r="S100" s="75" t="str">
        <f aca="false">IF(R100="","",IF((IF(H64="",IF($D$35="",0,$D$35),H64))=0,0,MAX(0,2577067.33-(IF(H65&lt;&gt;"",H65,IF($D$37&lt;&gt;"",$D$37,IF((IF(H64="",IF($D$35="",0,$D$35),H64))=0,0,H54/(IF(H64="",IF($D$35="",0,$D$35),H64)))))))*(IF(H64="",IF($D$35="",0,$D$35),H64))))</f>
        <v/>
      </c>
      <c r="T100" s="75" t="str">
        <f aca="false">IF(R100="","",R100+S100)</f>
        <v/>
      </c>
    </row>
    <row r="101" customFormat="false" ht="15" hidden="false" customHeight="false" outlineLevel="0" collapsed="false">
      <c r="A101" s="74" t="n">
        <v>14</v>
      </c>
      <c r="B101" s="75" t="n">
        <v>2628609</v>
      </c>
      <c r="C101" s="76" t="n">
        <v>126999</v>
      </c>
      <c r="D101" s="76" t="n">
        <v>0</v>
      </c>
      <c r="E101" s="76" t="n">
        <v>126999</v>
      </c>
      <c r="F101" s="75" t="n">
        <f aca="false">IF(D54="","",IF(14&gt;IF(D57="",10,D57),"",D54*(1+IF(D55="",0,D55))^ROUNDDOWN((14-1)/IF(D56="",5,D56),0)))</f>
        <v>109197.2628</v>
      </c>
      <c r="G101" s="75" t="n">
        <f aca="false">IF(F101="","",IF((IF(D64="",IF($D$35="",0,$D$35),D64))=0,0,MAX(0,2628608.67-(IF(D65&lt;&gt;"",D65,IF($D$37&lt;&gt;"",$D$37,IF((IF(D64="",IF($D$35="",0,$D$35),D64))=0,0,D54/(IF(D64="",IF($D$35="",0,$D$35),D64)))))))*(IF(D64="",IF($D$35="",0,$D$35),D64))))</f>
        <v>0</v>
      </c>
      <c r="H101" s="75" t="n">
        <f aca="false">IF(F101="","",F101+G101)</f>
        <v>109197.2628</v>
      </c>
      <c r="I101" s="75" t="str">
        <f aca="false">IF(E54="","",IF(14&gt;IF(E57="",10,E57),"",E54*(1+IF(E55="",0,E55))^ROUNDDOWN((14-1)/IF(E56="",5,E56),0)))</f>
        <v/>
      </c>
      <c r="J101" s="75" t="str">
        <f aca="false">IF(I101="","",IF((IF(E64="",IF($D$35="",0,$D$35),E64))=0,0,MAX(0,2628608.67-(IF(E65&lt;&gt;"",E65,IF($D$37&lt;&gt;"",$D$37,IF((IF(E64="",IF($D$35="",0,$D$35),E64))=0,0,E54/(IF(E64="",IF($D$35="",0,$D$35),E64)))))))*(IF(E64="",IF($D$35="",0,$D$35),E64))))</f>
        <v/>
      </c>
      <c r="K101" s="75" t="str">
        <f aca="false">IF(I101="","",I101+J101)</f>
        <v/>
      </c>
      <c r="L101" s="75" t="str">
        <f aca="false">IF(F54="","",IF(14&gt;IF(F57="",10,F57),"",F54*(1+IF(F55="",0,F55))^ROUNDDOWN((14-1)/IF(F56="",5,F56),0)))</f>
        <v/>
      </c>
      <c r="M101" s="75" t="str">
        <f aca="false">IF(L101="","",IF((IF(F64="",IF($D$35="",0,$D$35),F64))=0,0,MAX(0,2628608.67-(IF(F65&lt;&gt;"",F65,IF($D$37&lt;&gt;"",$D$37,IF((IF(F64="",IF($D$35="",0,$D$35),F64))=0,0,F54/(IF(F64="",IF($D$35="",0,$D$35),F64)))))))*(IF(F64="",IF($D$35="",0,$D$35),F64))))</f>
        <v/>
      </c>
      <c r="N101" s="75" t="str">
        <f aca="false">IF(L101="","",L101+M101)</f>
        <v/>
      </c>
      <c r="O101" s="75" t="str">
        <f aca="false">IF(G54="","",IF(14&gt;IF(G57="",10,G57),"",G54*(1+IF(G55="",0,G55))^ROUNDDOWN((14-1)/IF(G56="",5,G56),0)))</f>
        <v/>
      </c>
      <c r="P101" s="75" t="str">
        <f aca="false">IF(O101="","",IF((IF(G64="",IF($D$35="",0,$D$35),G64))=0,0,MAX(0,2628608.67-(IF(G65&lt;&gt;"",G65,IF($D$37&lt;&gt;"",$D$37,IF((IF(G64="",IF($D$35="",0,$D$35),G64))=0,0,G54/(IF(G64="",IF($D$35="",0,$D$35),G64)))))))*(IF(G64="",IF($D$35="",0,$D$35),G64))))</f>
        <v/>
      </c>
      <c r="Q101" s="75" t="str">
        <f aca="false">IF(O101="","",O101+P101)</f>
        <v/>
      </c>
      <c r="R101" s="75" t="str">
        <f aca="false">IF(H54="","",IF(14&gt;IF(H57="",10,H57),"",H54*(1+IF(H55="",0,H55))^ROUNDDOWN((14-1)/IF(H56="",5,H56),0)))</f>
        <v/>
      </c>
      <c r="S101" s="75" t="str">
        <f aca="false">IF(R101="","",IF((IF(H64="",IF($D$35="",0,$D$35),H64))=0,0,MAX(0,2628608.67-(IF(H65&lt;&gt;"",H65,IF($D$37&lt;&gt;"",$D$37,IF((IF(H64="",IF($D$35="",0,$D$35),H64))=0,0,H54/(IF(H64="",IF($D$35="",0,$D$35),H64)))))))*(IF(H64="",IF($D$35="",0,$D$35),H64))))</f>
        <v/>
      </c>
      <c r="T101" s="75" t="str">
        <f aca="false">IF(R101="","",R101+S101)</f>
        <v/>
      </c>
    </row>
    <row r="102" customFormat="false" ht="15" hidden="false" customHeight="false" outlineLevel="0" collapsed="false">
      <c r="A102" s="74" t="n">
        <v>15</v>
      </c>
      <c r="B102" s="75" t="n">
        <v>2681181</v>
      </c>
      <c r="C102" s="76" t="n">
        <v>126999</v>
      </c>
      <c r="D102" s="76" t="n">
        <v>0</v>
      </c>
      <c r="E102" s="76" t="n">
        <v>126999</v>
      </c>
      <c r="F102" s="75" t="n">
        <f aca="false">IF(D54="","",IF(15&gt;IF(D57="",10,D57),"",D54*(1+IF(D55="",0,D55))^ROUNDDOWN((15-1)/IF(D56="",5,D56),0)))</f>
        <v>109197.2628</v>
      </c>
      <c r="G102" s="75" t="n">
        <f aca="false">IF(F102="","",IF((IF(D64="",IF($D$35="",0,$D$35),D64))=0,0,MAX(0,2681180.85-(IF(D65&lt;&gt;"",D65,IF($D$37&lt;&gt;"",$D$37,IF((IF(D64="",IF($D$35="",0,$D$35),D64))=0,0,D54/(IF(D64="",IF($D$35="",0,$D$35),D64)))))))*(IF(D64="",IF($D$35="",0,$D$35),D64))))</f>
        <v>0</v>
      </c>
      <c r="H102" s="75" t="n">
        <f aca="false">IF(F102="","",F102+G102)</f>
        <v>109197.2628</v>
      </c>
      <c r="I102" s="75" t="str">
        <f aca="false">IF(E54="","",IF(15&gt;IF(E57="",10,E57),"",E54*(1+IF(E55="",0,E55))^ROUNDDOWN((15-1)/IF(E56="",5,E56),0)))</f>
        <v/>
      </c>
      <c r="J102" s="75" t="str">
        <f aca="false">IF(I102="","",IF((IF(E64="",IF($D$35="",0,$D$35),E64))=0,0,MAX(0,2681180.85-(IF(E65&lt;&gt;"",E65,IF($D$37&lt;&gt;"",$D$37,IF((IF(E64="",IF($D$35="",0,$D$35),E64))=0,0,E54/(IF(E64="",IF($D$35="",0,$D$35),E64)))))))*(IF(E64="",IF($D$35="",0,$D$35),E64))))</f>
        <v/>
      </c>
      <c r="K102" s="75" t="str">
        <f aca="false">IF(I102="","",I102+J102)</f>
        <v/>
      </c>
      <c r="L102" s="75" t="str">
        <f aca="false">IF(F54="","",IF(15&gt;IF(F57="",10,F57),"",F54*(1+IF(F55="",0,F55))^ROUNDDOWN((15-1)/IF(F56="",5,F56),0)))</f>
        <v/>
      </c>
      <c r="M102" s="75" t="str">
        <f aca="false">IF(L102="","",IF((IF(F64="",IF($D$35="",0,$D$35),F64))=0,0,MAX(0,2681180.85-(IF(F65&lt;&gt;"",F65,IF($D$37&lt;&gt;"",$D$37,IF((IF(F64="",IF($D$35="",0,$D$35),F64))=0,0,F54/(IF(F64="",IF($D$35="",0,$D$35),F64)))))))*(IF(F64="",IF($D$35="",0,$D$35),F64))))</f>
        <v/>
      </c>
      <c r="N102" s="75" t="str">
        <f aca="false">IF(L102="","",L102+M102)</f>
        <v/>
      </c>
      <c r="O102" s="75" t="str">
        <f aca="false">IF(G54="","",IF(15&gt;IF(G57="",10,G57),"",G54*(1+IF(G55="",0,G55))^ROUNDDOWN((15-1)/IF(G56="",5,G56),0)))</f>
        <v/>
      </c>
      <c r="P102" s="75" t="str">
        <f aca="false">IF(O102="","",IF((IF(G64="",IF($D$35="",0,$D$35),G64))=0,0,MAX(0,2681180.85-(IF(G65&lt;&gt;"",G65,IF($D$37&lt;&gt;"",$D$37,IF((IF(G64="",IF($D$35="",0,$D$35),G64))=0,0,G54/(IF(G64="",IF($D$35="",0,$D$35),G64)))))))*(IF(G64="",IF($D$35="",0,$D$35),G64))))</f>
        <v/>
      </c>
      <c r="Q102" s="75" t="str">
        <f aca="false">IF(O102="","",O102+P102)</f>
        <v/>
      </c>
      <c r="R102" s="75" t="str">
        <f aca="false">IF(H54="","",IF(15&gt;IF(H57="",10,H57),"",H54*(1+IF(H55="",0,H55))^ROUNDDOWN((15-1)/IF(H56="",5,H56),0)))</f>
        <v/>
      </c>
      <c r="S102" s="75" t="str">
        <f aca="false">IF(R102="","",IF((IF(H64="",IF($D$35="",0,$D$35),H64))=0,0,MAX(0,2681180.85-(IF(H65&lt;&gt;"",H65,IF($D$37&lt;&gt;"",$D$37,IF((IF(H64="",IF($D$35="",0,$D$35),H64))=0,0,H54/(IF(H64="",IF($D$35="",0,$D$35),H64)))))))*(IF(H64="",IF($D$35="",0,$D$35),H64))))</f>
        <v/>
      </c>
      <c r="T102" s="75" t="str">
        <f aca="false">IF(R102="","",R102+S102)</f>
        <v/>
      </c>
    </row>
    <row r="103" customFormat="false" ht="15" hidden="false" customHeight="false" outlineLevel="0" collapsed="false">
      <c r="A103" s="74" t="n">
        <v>16</v>
      </c>
      <c r="B103" s="75" t="n">
        <v>2734804</v>
      </c>
      <c r="C103" s="76" t="n">
        <v>139700</v>
      </c>
      <c r="D103" s="76" t="n">
        <v>0</v>
      </c>
      <c r="E103" s="76" t="n">
        <v>139700</v>
      </c>
      <c r="F103" s="75" t="n">
        <f aca="false">IF(D54="","",IF(16&gt;IF(D57="",10,D57),"",D54*(1+IF(D55="",0,D55))^ROUNDDOWN((16-1)/IF(D56="",5,D56),0)))</f>
        <v>111381.208056</v>
      </c>
      <c r="G103" s="75" t="n">
        <f aca="false">IF(F103="","",IF((IF(D64="",IF($D$35="",0,$D$35),D64))=0,0,MAX(0,2734804.46-(IF(D65&lt;&gt;"",D65,IF($D$37&lt;&gt;"",$D$37,IF((IF(D64="",IF($D$35="",0,$D$35),D64))=0,0,D54/(IF(D64="",IF($D$35="",0,$D$35),D64)))))))*(IF(D64="",IF($D$35="",0,$D$35),D64))))</f>
        <v>0</v>
      </c>
      <c r="H103" s="75" t="n">
        <f aca="false">IF(F103="","",F103+G103)</f>
        <v>111381.208056</v>
      </c>
      <c r="I103" s="75" t="str">
        <f aca="false">IF(E54="","",IF(16&gt;IF(E57="",10,E57),"",E54*(1+IF(E55="",0,E55))^ROUNDDOWN((16-1)/IF(E56="",5,E56),0)))</f>
        <v/>
      </c>
      <c r="J103" s="75" t="str">
        <f aca="false">IF(I103="","",IF((IF(E64="",IF($D$35="",0,$D$35),E64))=0,0,MAX(0,2734804.46-(IF(E65&lt;&gt;"",E65,IF($D$37&lt;&gt;"",$D$37,IF((IF(E64="",IF($D$35="",0,$D$35),E64))=0,0,E54/(IF(E64="",IF($D$35="",0,$D$35),E64)))))))*(IF(E64="",IF($D$35="",0,$D$35),E64))))</f>
        <v/>
      </c>
      <c r="K103" s="75" t="str">
        <f aca="false">IF(I103="","",I103+J103)</f>
        <v/>
      </c>
      <c r="L103" s="75" t="str">
        <f aca="false">IF(F54="","",IF(16&gt;IF(F57="",10,F57),"",F54*(1+IF(F55="",0,F55))^ROUNDDOWN((16-1)/IF(F56="",5,F56),0)))</f>
        <v/>
      </c>
      <c r="M103" s="75" t="str">
        <f aca="false">IF(L103="","",IF((IF(F64="",IF($D$35="",0,$D$35),F64))=0,0,MAX(0,2734804.46-(IF(F65&lt;&gt;"",F65,IF($D$37&lt;&gt;"",$D$37,IF((IF(F64="",IF($D$35="",0,$D$35),F64))=0,0,F54/(IF(F64="",IF($D$35="",0,$D$35),F64)))))))*(IF(F64="",IF($D$35="",0,$D$35),F64))))</f>
        <v/>
      </c>
      <c r="N103" s="75" t="str">
        <f aca="false">IF(L103="","",L103+M103)</f>
        <v/>
      </c>
      <c r="O103" s="75" t="str">
        <f aca="false">IF(G54="","",IF(16&gt;IF(G57="",10,G57),"",G54*(1+IF(G55="",0,G55))^ROUNDDOWN((16-1)/IF(G56="",5,G56),0)))</f>
        <v/>
      </c>
      <c r="P103" s="75" t="str">
        <f aca="false">IF(O103="","",IF((IF(G64="",IF($D$35="",0,$D$35),G64))=0,0,MAX(0,2734804.46-(IF(G65&lt;&gt;"",G65,IF($D$37&lt;&gt;"",$D$37,IF((IF(G64="",IF($D$35="",0,$D$35),G64))=0,0,G54/(IF(G64="",IF($D$35="",0,$D$35),G64)))))))*(IF(G64="",IF($D$35="",0,$D$35),G64))))</f>
        <v/>
      </c>
      <c r="Q103" s="75" t="str">
        <f aca="false">IF(O103="","",O103+P103)</f>
        <v/>
      </c>
      <c r="R103" s="75" t="str">
        <f aca="false">IF(H54="","",IF(16&gt;IF(H57="",10,H57),"",H54*(1+IF(H55="",0,H55))^ROUNDDOWN((16-1)/IF(H56="",5,H56),0)))</f>
        <v/>
      </c>
      <c r="S103" s="75" t="str">
        <f aca="false">IF(R103="","",IF((IF(H64="",IF($D$35="",0,$D$35),H64))=0,0,MAX(0,2734804.46-(IF(H65&lt;&gt;"",H65,IF($D$37&lt;&gt;"",$D$37,IF((IF(H64="",IF($D$35="",0,$D$35),H64))=0,0,H54/(IF(H64="",IF($D$35="",0,$D$35),H64)))))))*(IF(H64="",IF($D$35="",0,$D$35),H64))))</f>
        <v/>
      </c>
      <c r="T103" s="75" t="str">
        <f aca="false">IF(R103="","",R103+S103)</f>
        <v/>
      </c>
    </row>
    <row r="104" customFormat="false" ht="15" hidden="false" customHeight="false" outlineLevel="0" collapsed="false">
      <c r="A104" s="74" t="n">
        <v>17</v>
      </c>
      <c r="B104" s="75" t="n">
        <v>2789501</v>
      </c>
      <c r="C104" s="76" t="n">
        <v>139700</v>
      </c>
      <c r="D104" s="76" t="n">
        <v>0</v>
      </c>
      <c r="E104" s="76" t="n">
        <v>139700</v>
      </c>
      <c r="F104" s="75" t="n">
        <f aca="false">IF(D54="","",IF(17&gt;IF(D57="",10,D57),"",D54*(1+IF(D55="",0,D55))^ROUNDDOWN((17-1)/IF(D56="",5,D56),0)))</f>
        <v>111381.208056</v>
      </c>
      <c r="G104" s="75" t="n">
        <f aca="false">IF(F104="","",IF((IF(D64="",IF($D$35="",0,$D$35),D64))=0,0,MAX(0,2789500.55-(IF(D65&lt;&gt;"",D65,IF($D$37&lt;&gt;"",$D$37,IF((IF(D64="",IF($D$35="",0,$D$35),D64))=0,0,D54/(IF(D64="",IF($D$35="",0,$D$35),D64)))))))*(IF(D64="",IF($D$35="",0,$D$35),D64))))</f>
        <v>0</v>
      </c>
      <c r="H104" s="75" t="n">
        <f aca="false">IF(F104="","",F104+G104)</f>
        <v>111381.208056</v>
      </c>
      <c r="I104" s="75" t="str">
        <f aca="false">IF(E54="","",IF(17&gt;IF(E57="",10,E57),"",E54*(1+IF(E55="",0,E55))^ROUNDDOWN((17-1)/IF(E56="",5,E56),0)))</f>
        <v/>
      </c>
      <c r="J104" s="75" t="str">
        <f aca="false">IF(I104="","",IF((IF(E64="",IF($D$35="",0,$D$35),E64))=0,0,MAX(0,2789500.55-(IF(E65&lt;&gt;"",E65,IF($D$37&lt;&gt;"",$D$37,IF((IF(E64="",IF($D$35="",0,$D$35),E64))=0,0,E54/(IF(E64="",IF($D$35="",0,$D$35),E64)))))))*(IF(E64="",IF($D$35="",0,$D$35),E64))))</f>
        <v/>
      </c>
      <c r="K104" s="75" t="str">
        <f aca="false">IF(I104="","",I104+J104)</f>
        <v/>
      </c>
      <c r="L104" s="75" t="str">
        <f aca="false">IF(F54="","",IF(17&gt;IF(F57="",10,F57),"",F54*(1+IF(F55="",0,F55))^ROUNDDOWN((17-1)/IF(F56="",5,F56),0)))</f>
        <v/>
      </c>
      <c r="M104" s="75" t="str">
        <f aca="false">IF(L104="","",IF((IF(F64="",IF($D$35="",0,$D$35),F64))=0,0,MAX(0,2789500.55-(IF(F65&lt;&gt;"",F65,IF($D$37&lt;&gt;"",$D$37,IF((IF(F64="",IF($D$35="",0,$D$35),F64))=0,0,F54/(IF(F64="",IF($D$35="",0,$D$35),F64)))))))*(IF(F64="",IF($D$35="",0,$D$35),F64))))</f>
        <v/>
      </c>
      <c r="N104" s="75" t="str">
        <f aca="false">IF(L104="","",L104+M104)</f>
        <v/>
      </c>
      <c r="O104" s="75" t="str">
        <f aca="false">IF(G54="","",IF(17&gt;IF(G57="",10,G57),"",G54*(1+IF(G55="",0,G55))^ROUNDDOWN((17-1)/IF(G56="",5,G56),0)))</f>
        <v/>
      </c>
      <c r="P104" s="75" t="str">
        <f aca="false">IF(O104="","",IF((IF(G64="",IF($D$35="",0,$D$35),G64))=0,0,MAX(0,2789500.55-(IF(G65&lt;&gt;"",G65,IF($D$37&lt;&gt;"",$D$37,IF((IF(G64="",IF($D$35="",0,$D$35),G64))=0,0,G54/(IF(G64="",IF($D$35="",0,$D$35),G64)))))))*(IF(G64="",IF($D$35="",0,$D$35),G64))))</f>
        <v/>
      </c>
      <c r="Q104" s="75" t="str">
        <f aca="false">IF(O104="","",O104+P104)</f>
        <v/>
      </c>
      <c r="R104" s="75" t="str">
        <f aca="false">IF(H54="","",IF(17&gt;IF(H57="",10,H57),"",H54*(1+IF(H55="",0,H55))^ROUNDDOWN((17-1)/IF(H56="",5,H56),0)))</f>
        <v/>
      </c>
      <c r="S104" s="75" t="str">
        <f aca="false">IF(R104="","",IF((IF(H64="",IF($D$35="",0,$D$35),H64))=0,0,MAX(0,2789500.55-(IF(H65&lt;&gt;"",H65,IF($D$37&lt;&gt;"",$D$37,IF((IF(H64="",IF($D$35="",0,$D$35),H64))=0,0,H54/(IF(H64="",IF($D$35="",0,$D$35),H64)))))))*(IF(H64="",IF($D$35="",0,$D$35),H64))))</f>
        <v/>
      </c>
      <c r="T104" s="75" t="str">
        <f aca="false">IF(R104="","",R104+S104)</f>
        <v/>
      </c>
    </row>
    <row r="105" customFormat="false" ht="15" hidden="false" customHeight="false" outlineLevel="0" collapsed="false">
      <c r="A105" s="74" t="n">
        <v>18</v>
      </c>
      <c r="B105" s="75" t="n">
        <v>2845291</v>
      </c>
      <c r="C105" s="76" t="n">
        <v>139700</v>
      </c>
      <c r="D105" s="76" t="n">
        <v>0</v>
      </c>
      <c r="E105" s="76" t="n">
        <v>139700</v>
      </c>
      <c r="F105" s="75" t="n">
        <f aca="false">IF(D54="","",IF(18&gt;IF(D57="",10,D57),"",D54*(1+IF(D55="",0,D55))^ROUNDDOWN((18-1)/IF(D56="",5,D56),0)))</f>
        <v>111381.208056</v>
      </c>
      <c r="G105" s="75" t="n">
        <f aca="false">IF(F105="","",IF((IF(D64="",IF($D$35="",0,$D$35),D64))=0,0,MAX(0,2845290.56-(IF(D65&lt;&gt;"",D65,IF($D$37&lt;&gt;"",$D$37,IF((IF(D64="",IF($D$35="",0,$D$35),D64))=0,0,D54/(IF(D64="",IF($D$35="",0,$D$35),D64)))))))*(IF(D64="",IF($D$35="",0,$D$35),D64))))</f>
        <v>0</v>
      </c>
      <c r="H105" s="75" t="n">
        <f aca="false">IF(F105="","",F105+G105)</f>
        <v>111381.208056</v>
      </c>
      <c r="I105" s="75" t="str">
        <f aca="false">IF(E54="","",IF(18&gt;IF(E57="",10,E57),"",E54*(1+IF(E55="",0,E55))^ROUNDDOWN((18-1)/IF(E56="",5,E56),0)))</f>
        <v/>
      </c>
      <c r="J105" s="75" t="str">
        <f aca="false">IF(I105="","",IF((IF(E64="",IF($D$35="",0,$D$35),E64))=0,0,MAX(0,2845290.56-(IF(E65&lt;&gt;"",E65,IF($D$37&lt;&gt;"",$D$37,IF((IF(E64="",IF($D$35="",0,$D$35),E64))=0,0,E54/(IF(E64="",IF($D$35="",0,$D$35),E64)))))))*(IF(E64="",IF($D$35="",0,$D$35),E64))))</f>
        <v/>
      </c>
      <c r="K105" s="75" t="str">
        <f aca="false">IF(I105="","",I105+J105)</f>
        <v/>
      </c>
      <c r="L105" s="75" t="str">
        <f aca="false">IF(F54="","",IF(18&gt;IF(F57="",10,F57),"",F54*(1+IF(F55="",0,F55))^ROUNDDOWN((18-1)/IF(F56="",5,F56),0)))</f>
        <v/>
      </c>
      <c r="M105" s="75" t="str">
        <f aca="false">IF(L105="","",IF((IF(F64="",IF($D$35="",0,$D$35),F64))=0,0,MAX(0,2845290.56-(IF(F65&lt;&gt;"",F65,IF($D$37&lt;&gt;"",$D$37,IF((IF(F64="",IF($D$35="",0,$D$35),F64))=0,0,F54/(IF(F64="",IF($D$35="",0,$D$35),F64)))))))*(IF(F64="",IF($D$35="",0,$D$35),F64))))</f>
        <v/>
      </c>
      <c r="N105" s="75" t="str">
        <f aca="false">IF(L105="","",L105+M105)</f>
        <v/>
      </c>
      <c r="O105" s="75" t="str">
        <f aca="false">IF(G54="","",IF(18&gt;IF(G57="",10,G57),"",G54*(1+IF(G55="",0,G55))^ROUNDDOWN((18-1)/IF(G56="",5,G56),0)))</f>
        <v/>
      </c>
      <c r="P105" s="75" t="str">
        <f aca="false">IF(O105="","",IF((IF(G64="",IF($D$35="",0,$D$35),G64))=0,0,MAX(0,2845290.56-(IF(G65&lt;&gt;"",G65,IF($D$37&lt;&gt;"",$D$37,IF((IF(G64="",IF($D$35="",0,$D$35),G64))=0,0,G54/(IF(G64="",IF($D$35="",0,$D$35),G64)))))))*(IF(G64="",IF($D$35="",0,$D$35),G64))))</f>
        <v/>
      </c>
      <c r="Q105" s="75" t="str">
        <f aca="false">IF(O105="","",O105+P105)</f>
        <v/>
      </c>
      <c r="R105" s="75" t="str">
        <f aca="false">IF(H54="","",IF(18&gt;IF(H57="",10,H57),"",H54*(1+IF(H55="",0,H55))^ROUNDDOWN((18-1)/IF(H56="",5,H56),0)))</f>
        <v/>
      </c>
      <c r="S105" s="75" t="str">
        <f aca="false">IF(R105="","",IF((IF(H64="",IF($D$35="",0,$D$35),H64))=0,0,MAX(0,2845290.56-(IF(H65&lt;&gt;"",H65,IF($D$37&lt;&gt;"",$D$37,IF((IF(H64="",IF($D$35="",0,$D$35),H64))=0,0,H54/(IF(H64="",IF($D$35="",0,$D$35),H64)))))))*(IF(H64="",IF($D$35="",0,$D$35),H64))))</f>
        <v/>
      </c>
      <c r="T105" s="75" t="str">
        <f aca="false">IF(R105="","",R105+S105)</f>
        <v/>
      </c>
    </row>
    <row r="106" customFormat="false" ht="15" hidden="false" customHeight="false" outlineLevel="0" collapsed="false">
      <c r="A106" s="74" t="n">
        <v>19</v>
      </c>
      <c r="B106" s="75" t="n">
        <v>2902196</v>
      </c>
      <c r="C106" s="76" t="n">
        <v>139700</v>
      </c>
      <c r="D106" s="76" t="n">
        <v>0</v>
      </c>
      <c r="E106" s="76" t="n">
        <v>139700</v>
      </c>
      <c r="F106" s="75" t="n">
        <f aca="false">IF(D54="","",IF(19&gt;IF(D57="",10,D57),"",D54*(1+IF(D55="",0,D55))^ROUNDDOWN((19-1)/IF(D56="",5,D56),0)))</f>
        <v>111381.208056</v>
      </c>
      <c r="G106" s="75" t="n">
        <f aca="false">IF(F106="","",IF((IF(D64="",IF($D$35="",0,$D$35),D64))=0,0,MAX(0,2902196.38-(IF(D65&lt;&gt;"",D65,IF($D$37&lt;&gt;"",$D$37,IF((IF(D64="",IF($D$35="",0,$D$35),D64))=0,0,D54/(IF(D64="",IF($D$35="",0,$D$35),D64)))))))*(IF(D64="",IF($D$35="",0,$D$35),D64))))</f>
        <v>0</v>
      </c>
      <c r="H106" s="75" t="n">
        <f aca="false">IF(F106="","",F106+G106)</f>
        <v>111381.208056</v>
      </c>
      <c r="I106" s="75" t="str">
        <f aca="false">IF(E54="","",IF(19&gt;IF(E57="",10,E57),"",E54*(1+IF(E55="",0,E55))^ROUNDDOWN((19-1)/IF(E56="",5,E56),0)))</f>
        <v/>
      </c>
      <c r="J106" s="75" t="str">
        <f aca="false">IF(I106="","",IF((IF(E64="",IF($D$35="",0,$D$35),E64))=0,0,MAX(0,2902196.38-(IF(E65&lt;&gt;"",E65,IF($D$37&lt;&gt;"",$D$37,IF((IF(E64="",IF($D$35="",0,$D$35),E64))=0,0,E54/(IF(E64="",IF($D$35="",0,$D$35),E64)))))))*(IF(E64="",IF($D$35="",0,$D$35),E64))))</f>
        <v/>
      </c>
      <c r="K106" s="75" t="str">
        <f aca="false">IF(I106="","",I106+J106)</f>
        <v/>
      </c>
      <c r="L106" s="75" t="str">
        <f aca="false">IF(F54="","",IF(19&gt;IF(F57="",10,F57),"",F54*(1+IF(F55="",0,F55))^ROUNDDOWN((19-1)/IF(F56="",5,F56),0)))</f>
        <v/>
      </c>
      <c r="M106" s="75" t="str">
        <f aca="false">IF(L106="","",IF((IF(F64="",IF($D$35="",0,$D$35),F64))=0,0,MAX(0,2902196.38-(IF(F65&lt;&gt;"",F65,IF($D$37&lt;&gt;"",$D$37,IF((IF(F64="",IF($D$35="",0,$D$35),F64))=0,0,F54/(IF(F64="",IF($D$35="",0,$D$35),F64)))))))*(IF(F64="",IF($D$35="",0,$D$35),F64))))</f>
        <v/>
      </c>
      <c r="N106" s="75" t="str">
        <f aca="false">IF(L106="","",L106+M106)</f>
        <v/>
      </c>
      <c r="O106" s="75" t="str">
        <f aca="false">IF(G54="","",IF(19&gt;IF(G57="",10,G57),"",G54*(1+IF(G55="",0,G55))^ROUNDDOWN((19-1)/IF(G56="",5,G56),0)))</f>
        <v/>
      </c>
      <c r="P106" s="75" t="str">
        <f aca="false">IF(O106="","",IF((IF(G64="",IF($D$35="",0,$D$35),G64))=0,0,MAX(0,2902196.38-(IF(G65&lt;&gt;"",G65,IF($D$37&lt;&gt;"",$D$37,IF((IF(G64="",IF($D$35="",0,$D$35),G64))=0,0,G54/(IF(G64="",IF($D$35="",0,$D$35),G64)))))))*(IF(G64="",IF($D$35="",0,$D$35),G64))))</f>
        <v/>
      </c>
      <c r="Q106" s="75" t="str">
        <f aca="false">IF(O106="","",O106+P106)</f>
        <v/>
      </c>
      <c r="R106" s="75" t="str">
        <f aca="false">IF(H54="","",IF(19&gt;IF(H57="",10,H57),"",H54*(1+IF(H55="",0,H55))^ROUNDDOWN((19-1)/IF(H56="",5,H56),0)))</f>
        <v/>
      </c>
      <c r="S106" s="75" t="str">
        <f aca="false">IF(R106="","",IF((IF(H64="",IF($D$35="",0,$D$35),H64))=0,0,MAX(0,2902196.38-(IF(H65&lt;&gt;"",H65,IF($D$37&lt;&gt;"",$D$37,IF((IF(H64="",IF($D$35="",0,$D$35),H64))=0,0,H54/(IF(H64="",IF($D$35="",0,$D$35),H64)))))))*(IF(H64="",IF($D$35="",0,$D$35),H64))))</f>
        <v/>
      </c>
      <c r="T106" s="75" t="str">
        <f aca="false">IF(R106="","",R106+S106)</f>
        <v/>
      </c>
    </row>
    <row r="107" customFormat="false" ht="15" hidden="false" customHeight="false" outlineLevel="0" collapsed="false">
      <c r="A107" s="74" t="n">
        <v>20</v>
      </c>
      <c r="B107" s="75" t="n">
        <v>2960240</v>
      </c>
      <c r="C107" s="76" t="n">
        <v>139700</v>
      </c>
      <c r="D107" s="76" t="n">
        <v>0</v>
      </c>
      <c r="E107" s="76" t="n">
        <v>139700</v>
      </c>
      <c r="F107" s="75" t="n">
        <f aca="false">IF(D54="","",IF(20&gt;IF(D57="",10,D57),"",D54*(1+IF(D55="",0,D55))^ROUNDDOWN((20-1)/IF(D56="",5,D56),0)))</f>
        <v>111381.208056</v>
      </c>
      <c r="G107" s="75" t="n">
        <f aca="false">IF(F107="","",IF((IF(D64="",IF($D$35="",0,$D$35),D64))=0,0,MAX(0,2960240.3-(IF(D65&lt;&gt;"",D65,IF($D$37&lt;&gt;"",$D$37,IF((IF(D64="",IF($D$35="",0,$D$35),D64))=0,0,D54/(IF(D64="",IF($D$35="",0,$D$35),D64)))))))*(IF(D64="",IF($D$35="",0,$D$35),D64))))</f>
        <v>0</v>
      </c>
      <c r="H107" s="75" t="n">
        <f aca="false">IF(F107="","",F107+G107)</f>
        <v>111381.208056</v>
      </c>
      <c r="I107" s="75" t="str">
        <f aca="false">IF(E54="","",IF(20&gt;IF(E57="",10,E57),"",E54*(1+IF(E55="",0,E55))^ROUNDDOWN((20-1)/IF(E56="",5,E56),0)))</f>
        <v/>
      </c>
      <c r="J107" s="75" t="str">
        <f aca="false">IF(I107="","",IF((IF(E64="",IF($D$35="",0,$D$35),E64))=0,0,MAX(0,2960240.3-(IF(E65&lt;&gt;"",E65,IF($D$37&lt;&gt;"",$D$37,IF((IF(E64="",IF($D$35="",0,$D$35),E64))=0,0,E54/(IF(E64="",IF($D$35="",0,$D$35),E64)))))))*(IF(E64="",IF($D$35="",0,$D$35),E64))))</f>
        <v/>
      </c>
      <c r="K107" s="75" t="str">
        <f aca="false">IF(I107="","",I107+J107)</f>
        <v/>
      </c>
      <c r="L107" s="75" t="str">
        <f aca="false">IF(F54="","",IF(20&gt;IF(F57="",10,F57),"",F54*(1+IF(F55="",0,F55))^ROUNDDOWN((20-1)/IF(F56="",5,F56),0)))</f>
        <v/>
      </c>
      <c r="M107" s="75" t="str">
        <f aca="false">IF(L107="","",IF((IF(F64="",IF($D$35="",0,$D$35),F64))=0,0,MAX(0,2960240.3-(IF(F65&lt;&gt;"",F65,IF($D$37&lt;&gt;"",$D$37,IF((IF(F64="",IF($D$35="",0,$D$35),F64))=0,0,F54/(IF(F64="",IF($D$35="",0,$D$35),F64)))))))*(IF(F64="",IF($D$35="",0,$D$35),F64))))</f>
        <v/>
      </c>
      <c r="N107" s="75" t="str">
        <f aca="false">IF(L107="","",L107+M107)</f>
        <v/>
      </c>
      <c r="O107" s="75" t="str">
        <f aca="false">IF(G54="","",IF(20&gt;IF(G57="",10,G57),"",G54*(1+IF(G55="",0,G55))^ROUNDDOWN((20-1)/IF(G56="",5,G56),0)))</f>
        <v/>
      </c>
      <c r="P107" s="75" t="str">
        <f aca="false">IF(O107="","",IF((IF(G64="",IF($D$35="",0,$D$35),G64))=0,0,MAX(0,2960240.3-(IF(G65&lt;&gt;"",G65,IF($D$37&lt;&gt;"",$D$37,IF((IF(G64="",IF($D$35="",0,$D$35),G64))=0,0,G54/(IF(G64="",IF($D$35="",0,$D$35),G64)))))))*(IF(G64="",IF($D$35="",0,$D$35),G64))))</f>
        <v/>
      </c>
      <c r="Q107" s="75" t="str">
        <f aca="false">IF(O107="","",O107+P107)</f>
        <v/>
      </c>
      <c r="R107" s="75" t="str">
        <f aca="false">IF(H54="","",IF(20&gt;IF(H57="",10,H57),"",H54*(1+IF(H55="",0,H55))^ROUNDDOWN((20-1)/IF(H56="",5,H56),0)))</f>
        <v/>
      </c>
      <c r="S107" s="75" t="str">
        <f aca="false">IF(R107="","",IF((IF(H64="",IF($D$35="",0,$D$35),H64))=0,0,MAX(0,2960240.3-(IF(H65&lt;&gt;"",H65,IF($D$37&lt;&gt;"",$D$37,IF((IF(H64="",IF($D$35="",0,$D$35),H64))=0,0,H54/(IF(H64="",IF($D$35="",0,$D$35),H64)))))))*(IF(H64="",IF($D$35="",0,$D$35),H64))))</f>
        <v/>
      </c>
      <c r="T107" s="75" t="str">
        <f aca="false">IF(R107="","",R107+S107)</f>
        <v/>
      </c>
    </row>
    <row r="108" customFormat="false" ht="15" hidden="false" customHeight="false" outlineLevel="0" collapsed="false">
      <c r="A108" s="77" t="s">
        <v>394</v>
      </c>
      <c r="C108" s="78" t="n">
        <f aca="false">IF(COUNT(C88:C107)=0,"",SUM(C88:C107))</f>
        <v>2435545</v>
      </c>
      <c r="D108" s="78" t="n">
        <f aca="false">IF(COUNT(D88:D107)=0,"",SUM(D88:D107))</f>
        <v>0</v>
      </c>
      <c r="E108" s="78" t="n">
        <f aca="false">IF(COUNT(E88:E107)=0,"",SUM(E88:E107))</f>
        <v>2435545</v>
      </c>
      <c r="F108" s="78" t="n">
        <f aca="false">IF(COUNT(F88:F107)=0,"",SUM(F88:F107))</f>
        <v>2162958.05428</v>
      </c>
      <c r="G108" s="78" t="n">
        <f aca="false">IF(COUNT(G88:G107)=0,"",SUM(G88:G107))</f>
        <v>0</v>
      </c>
      <c r="H108" s="78" t="n">
        <f aca="false">IF(COUNT(H88:H107)=0,"",SUM(H88:H107))</f>
        <v>2162958.05428</v>
      </c>
      <c r="I108" s="78" t="str">
        <f aca="false">IF(COUNT(I88:I107)=0,"",SUM(I88:I107))</f>
        <v/>
      </c>
      <c r="J108" s="78" t="str">
        <f aca="false">IF(COUNT(J88:J107)=0,"",SUM(J88:J107))</f>
        <v/>
      </c>
      <c r="K108" s="78" t="str">
        <f aca="false">IF(COUNT(K88:K107)=0,"",SUM(K88:K107))</f>
        <v/>
      </c>
      <c r="L108" s="78" t="str">
        <f aca="false">IF(COUNT(L88:L107)=0,"",SUM(L88:L107))</f>
        <v/>
      </c>
      <c r="M108" s="78" t="str">
        <f aca="false">IF(COUNT(M88:M107)=0,"",SUM(M88:M107))</f>
        <v/>
      </c>
      <c r="N108" s="78" t="str">
        <f aca="false">IF(COUNT(N88:N107)=0,"",SUM(N88:N107))</f>
        <v/>
      </c>
      <c r="O108" s="78" t="str">
        <f aca="false">IF(COUNT(O88:O107)=0,"",SUM(O88:O107))</f>
        <v/>
      </c>
      <c r="P108" s="78" t="str">
        <f aca="false">IF(COUNT(P88:P107)=0,"",SUM(P88:P107))</f>
        <v/>
      </c>
      <c r="Q108" s="78" t="str">
        <f aca="false">IF(COUNT(Q88:Q107)=0,"",SUM(Q88:Q107))</f>
        <v/>
      </c>
      <c r="R108" s="78" t="str">
        <f aca="false">IF(COUNT(R88:R107)=0,"",SUM(R88:R107))</f>
        <v/>
      </c>
      <c r="S108" s="78" t="str">
        <f aca="false">IF(COUNT(S88:S107)=0,"",SUM(S88:S107))</f>
        <v/>
      </c>
      <c r="T108" s="78" t="str">
        <f aca="false">IF(COUNT(T88:T107)=0,"",SUM(T88:T107))</f>
        <v/>
      </c>
    </row>
    <row r="109" customFormat="false" ht="15" hidden="false" customHeight="false" outlineLevel="0" collapsed="false">
      <c r="A109" s="69" t="s">
        <v>395</v>
      </c>
      <c r="B109" s="69"/>
      <c r="C109" s="69"/>
      <c r="D109" s="69"/>
      <c r="E109" s="69"/>
      <c r="F109" s="69"/>
      <c r="G109" s="69"/>
      <c r="H109" s="69"/>
      <c r="I109" s="69"/>
      <c r="J109" s="69"/>
      <c r="K109" s="69"/>
      <c r="L109" s="69"/>
      <c r="M109" s="69"/>
      <c r="N109" s="69"/>
      <c r="O109" s="69"/>
      <c r="P109" s="69"/>
      <c r="Q109" s="69"/>
      <c r="R109" s="69"/>
      <c r="S109" s="69"/>
      <c r="T109" s="69"/>
    </row>
  </sheetData>
  <mergeCells count="83">
    <mergeCell ref="A2:J2"/>
    <mergeCell ref="A3:J3"/>
    <mergeCell ref="A4:J4"/>
    <mergeCell ref="A5:J5"/>
    <mergeCell ref="A6:J6"/>
    <mergeCell ref="A7:J7"/>
    <mergeCell ref="A8:J8"/>
    <mergeCell ref="A10:C10"/>
    <mergeCell ref="D10:J10"/>
    <mergeCell ref="A11:C11"/>
    <mergeCell ref="D11:J11"/>
    <mergeCell ref="A12:C12"/>
    <mergeCell ref="D12:J12"/>
    <mergeCell ref="A13:C13"/>
    <mergeCell ref="D13:J13"/>
    <mergeCell ref="A14:C14"/>
    <mergeCell ref="D14:J14"/>
    <mergeCell ref="G17:J17"/>
    <mergeCell ref="G18:J18"/>
    <mergeCell ref="G19:J19"/>
    <mergeCell ref="G20:J20"/>
    <mergeCell ref="A21:D21"/>
    <mergeCell ref="A22:J22"/>
    <mergeCell ref="A25:C25"/>
    <mergeCell ref="A26:C26"/>
    <mergeCell ref="E26:J26"/>
    <mergeCell ref="A27:C27"/>
    <mergeCell ref="E27:J27"/>
    <mergeCell ref="A28:C28"/>
    <mergeCell ref="A29:C29"/>
    <mergeCell ref="A30:C30"/>
    <mergeCell ref="E30:J30"/>
    <mergeCell ref="A31:J31"/>
    <mergeCell ref="A32:J32"/>
    <mergeCell ref="A35:C35"/>
    <mergeCell ref="E35:J35"/>
    <mergeCell ref="A36:C36"/>
    <mergeCell ref="E36:J36"/>
    <mergeCell ref="A37:C37"/>
    <mergeCell ref="E37:J37"/>
    <mergeCell ref="A38:C38"/>
    <mergeCell ref="E38:J38"/>
    <mergeCell ref="A39:C39"/>
    <mergeCell ref="A40:C40"/>
    <mergeCell ref="A41:C41"/>
    <mergeCell ref="A42:C42"/>
    <mergeCell ref="A49:G49"/>
    <mergeCell ref="A52:C52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2:C62"/>
    <mergeCell ref="A63:C63"/>
    <mergeCell ref="A64:C64"/>
    <mergeCell ref="A65:C65"/>
    <mergeCell ref="A66:C66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79:J79"/>
    <mergeCell ref="A81:J81"/>
    <mergeCell ref="A85:T85"/>
    <mergeCell ref="C86:E86"/>
    <mergeCell ref="F86:H86"/>
    <mergeCell ref="I86:K86"/>
    <mergeCell ref="L86:N86"/>
    <mergeCell ref="O86:Q86"/>
    <mergeCell ref="R86:T86"/>
    <mergeCell ref="A109:T109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T10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6"/>
    <col collapsed="false" customWidth="true" hidden="false" outlineLevel="0" max="2" min="2" style="0" width="22"/>
    <col collapsed="false" customWidth="true" hidden="false" outlineLevel="0" max="3" min="3" style="0" width="11"/>
    <col collapsed="false" customWidth="true" hidden="false" outlineLevel="0" max="4" min="4" style="0" width="14"/>
    <col collapsed="false" customWidth="true" hidden="false" outlineLevel="0" max="6" min="5" style="0" width="12"/>
    <col collapsed="false" customWidth="true" hidden="false" outlineLevel="0" max="7" min="7" style="0" width="14"/>
    <col collapsed="false" customWidth="true" hidden="false" outlineLevel="0" max="9" min="8" style="0" width="13"/>
    <col collapsed="false" customWidth="true" hidden="false" outlineLevel="0" max="10" min="10" style="0" width="26"/>
  </cols>
  <sheetData>
    <row r="1" customFormat="false" ht="16.15" hidden="false" customHeight="false" outlineLevel="0" collapsed="false">
      <c r="A1" s="3" t="s">
        <v>672</v>
      </c>
    </row>
    <row r="2" customFormat="false" ht="25.5" hidden="false" customHeight="true" outlineLevel="0" collapsed="false">
      <c r="A2" s="12" t="s">
        <v>251</v>
      </c>
      <c r="B2" s="12"/>
      <c r="C2" s="12"/>
      <c r="D2" s="12"/>
      <c r="E2" s="12"/>
      <c r="F2" s="12"/>
      <c r="G2" s="12"/>
      <c r="H2" s="12"/>
      <c r="I2" s="12"/>
      <c r="J2" s="12"/>
    </row>
    <row r="3" customFormat="false" ht="15" hidden="false" customHeight="true" outlineLevel="0" collapsed="false">
      <c r="A3" s="16" t="s">
        <v>673</v>
      </c>
      <c r="B3" s="16"/>
      <c r="C3" s="16"/>
      <c r="D3" s="16"/>
      <c r="E3" s="16"/>
      <c r="F3" s="16"/>
      <c r="G3" s="16"/>
      <c r="H3" s="16"/>
      <c r="I3" s="16"/>
      <c r="J3" s="16"/>
    </row>
    <row r="4" customFormat="false" ht="30" hidden="false" customHeight="true" outlineLevel="0" collapsed="false">
      <c r="A4" s="17" t="s">
        <v>64</v>
      </c>
      <c r="B4" s="17"/>
      <c r="C4" s="17"/>
      <c r="D4" s="17"/>
      <c r="E4" s="17"/>
      <c r="F4" s="17"/>
      <c r="G4" s="17"/>
      <c r="H4" s="17"/>
      <c r="I4" s="17"/>
      <c r="J4" s="17"/>
    </row>
    <row r="5" customFormat="false" ht="15" hidden="false" customHeight="true" outlineLevel="0" collapsed="false">
      <c r="A5" s="79" t="s">
        <v>65</v>
      </c>
      <c r="B5" s="79"/>
      <c r="C5" s="79"/>
      <c r="D5" s="79"/>
      <c r="E5" s="79"/>
      <c r="F5" s="79"/>
      <c r="G5" s="79"/>
      <c r="H5" s="79"/>
      <c r="I5" s="79"/>
      <c r="J5" s="79"/>
    </row>
    <row r="6" customFormat="false" ht="15" hidden="false" customHeight="true" outlineLevel="0" collapsed="false">
      <c r="A6" s="19" t="s">
        <v>66</v>
      </c>
      <c r="B6" s="19"/>
      <c r="C6" s="19"/>
      <c r="D6" s="19"/>
      <c r="E6" s="19"/>
      <c r="F6" s="19"/>
      <c r="G6" s="19"/>
      <c r="H6" s="19"/>
      <c r="I6" s="19"/>
      <c r="J6" s="19"/>
    </row>
    <row r="7" customFormat="false" ht="23.85" hidden="false" customHeight="true" outlineLevel="0" collapsed="false">
      <c r="A7" s="20" t="s">
        <v>674</v>
      </c>
      <c r="B7" s="20"/>
      <c r="C7" s="20"/>
      <c r="D7" s="20"/>
      <c r="E7" s="20"/>
      <c r="F7" s="20"/>
      <c r="G7" s="20"/>
      <c r="H7" s="20"/>
      <c r="I7" s="20"/>
      <c r="J7" s="20"/>
    </row>
    <row r="8" customFormat="false" ht="15" hidden="false" customHeight="true" outlineLevel="0" collapsed="false">
      <c r="A8" s="21" t="s">
        <v>254</v>
      </c>
      <c r="B8" s="21"/>
      <c r="C8" s="21"/>
      <c r="D8" s="21"/>
      <c r="E8" s="21"/>
      <c r="F8" s="21"/>
      <c r="G8" s="21"/>
      <c r="H8" s="21"/>
      <c r="I8" s="21"/>
      <c r="J8" s="21"/>
    </row>
    <row r="10" customFormat="false" ht="15" hidden="false" customHeight="true" outlineLevel="0" collapsed="false">
      <c r="A10" s="22" t="s">
        <v>255</v>
      </c>
      <c r="B10" s="22"/>
      <c r="C10" s="22"/>
      <c r="D10" s="23" t="s">
        <v>675</v>
      </c>
      <c r="E10" s="23"/>
      <c r="F10" s="23"/>
      <c r="G10" s="23"/>
      <c r="H10" s="23"/>
      <c r="I10" s="23"/>
      <c r="J10" s="23"/>
    </row>
    <row r="11" customFormat="false" ht="15" hidden="false" customHeight="true" outlineLevel="0" collapsed="false">
      <c r="A11" s="22" t="s">
        <v>257</v>
      </c>
      <c r="B11" s="22"/>
      <c r="C11" s="22"/>
      <c r="D11" s="23" t="s">
        <v>676</v>
      </c>
      <c r="E11" s="23"/>
      <c r="F11" s="23"/>
      <c r="G11" s="23"/>
      <c r="H11" s="23"/>
      <c r="I11" s="23"/>
      <c r="J11" s="23"/>
    </row>
    <row r="12" customFormat="false" ht="15" hidden="false" customHeight="true" outlineLevel="0" collapsed="false">
      <c r="A12" s="22" t="s">
        <v>259</v>
      </c>
      <c r="B12" s="22"/>
      <c r="C12" s="22"/>
      <c r="D12" s="86"/>
      <c r="E12" s="86"/>
      <c r="F12" s="86"/>
      <c r="G12" s="86"/>
      <c r="H12" s="86"/>
      <c r="I12" s="86"/>
      <c r="J12" s="86"/>
    </row>
    <row r="13" customFormat="false" ht="15" hidden="false" customHeight="true" outlineLevel="0" collapsed="false">
      <c r="A13" s="22" t="s">
        <v>261</v>
      </c>
      <c r="B13" s="22"/>
      <c r="C13" s="22"/>
      <c r="D13" s="24" t="n">
        <v>1301732.32</v>
      </c>
      <c r="E13" s="24"/>
      <c r="F13" s="24"/>
      <c r="G13" s="24"/>
      <c r="H13" s="24"/>
      <c r="I13" s="24"/>
      <c r="J13" s="24"/>
    </row>
    <row r="14" customFormat="false" ht="35.05" hidden="false" customHeight="true" outlineLevel="0" collapsed="false">
      <c r="A14" s="22" t="s">
        <v>262</v>
      </c>
      <c r="B14" s="22"/>
      <c r="C14" s="22"/>
      <c r="D14" s="22" t="s">
        <v>677</v>
      </c>
      <c r="E14" s="22"/>
      <c r="F14" s="22"/>
      <c r="G14" s="22"/>
      <c r="H14" s="22"/>
      <c r="I14" s="22"/>
      <c r="J14" s="22"/>
    </row>
    <row r="16" customFormat="false" ht="15" hidden="false" customHeight="false" outlineLevel="0" collapsed="false">
      <c r="A16" s="25" t="s">
        <v>264</v>
      </c>
    </row>
    <row r="17" customFormat="false" ht="22.35" hidden="false" customHeight="true" outlineLevel="0" collapsed="false">
      <c r="A17" s="26" t="s">
        <v>265</v>
      </c>
      <c r="B17" s="26" t="s">
        <v>266</v>
      </c>
      <c r="C17" s="26" t="s">
        <v>267</v>
      </c>
      <c r="D17" s="26" t="s">
        <v>268</v>
      </c>
      <c r="E17" s="26" t="s">
        <v>269</v>
      </c>
      <c r="F17" s="26" t="s">
        <v>270</v>
      </c>
      <c r="G17" s="26" t="s">
        <v>271</v>
      </c>
      <c r="H17" s="26"/>
      <c r="I17" s="26"/>
      <c r="J17" s="26"/>
    </row>
    <row r="18" customFormat="false" ht="19.4" hidden="false" customHeight="true" outlineLevel="0" collapsed="false">
      <c r="A18" s="27" t="s">
        <v>435</v>
      </c>
      <c r="B18" s="28" t="s">
        <v>404</v>
      </c>
      <c r="C18" s="28" t="s">
        <v>678</v>
      </c>
      <c r="D18" s="29" t="n">
        <v>10755.61</v>
      </c>
      <c r="E18" s="30" t="n">
        <f aca="false">IF(D18="","",D18*12)</f>
        <v>129067.32</v>
      </c>
      <c r="F18" s="56"/>
      <c r="G18" s="32" t="s">
        <v>679</v>
      </c>
      <c r="H18" s="32"/>
      <c r="I18" s="32"/>
      <c r="J18" s="32"/>
    </row>
    <row r="19" customFormat="false" ht="15" hidden="false" customHeight="false" outlineLevel="0" collapsed="false">
      <c r="A19" s="34" t="s">
        <v>284</v>
      </c>
      <c r="B19" s="34"/>
      <c r="C19" s="34"/>
      <c r="D19" s="34"/>
      <c r="E19" s="35" t="str">
        <f aca="false">IF(SUMPRODUCT(E18:E18,F18:F18)=0,"",SUMPRODUCT(E18:E18,F18:F18))</f>
        <v/>
      </c>
      <c r="F19" s="36"/>
      <c r="G19" s="36"/>
      <c r="H19" s="36"/>
      <c r="I19" s="36"/>
      <c r="J19" s="36"/>
    </row>
    <row r="20" customFormat="false" ht="15" hidden="false" customHeight="false" outlineLevel="0" collapsed="false">
      <c r="A20" s="37" t="s">
        <v>510</v>
      </c>
      <c r="B20" s="37"/>
      <c r="C20" s="37"/>
      <c r="D20" s="37"/>
      <c r="E20" s="37"/>
      <c r="F20" s="37"/>
      <c r="G20" s="37"/>
      <c r="H20" s="37"/>
      <c r="I20" s="37"/>
      <c r="J20" s="37"/>
    </row>
    <row r="22" customFormat="false" ht="15" hidden="false" customHeight="false" outlineLevel="0" collapsed="false">
      <c r="A22" s="25" t="s">
        <v>286</v>
      </c>
    </row>
    <row r="23" customFormat="false" ht="15" hidden="false" customHeight="true" outlineLevel="0" collapsed="false">
      <c r="A23" s="22" t="s">
        <v>287</v>
      </c>
      <c r="B23" s="22"/>
      <c r="C23" s="22"/>
      <c r="D23" s="35" t="n">
        <v>129067.32</v>
      </c>
      <c r="E23" s="36"/>
      <c r="F23" s="36"/>
      <c r="G23" s="36"/>
      <c r="H23" s="36"/>
      <c r="I23" s="36"/>
      <c r="J23" s="36"/>
    </row>
    <row r="24" customFormat="false" ht="15" hidden="false" customHeight="true" outlineLevel="0" collapsed="false">
      <c r="A24" s="22" t="s">
        <v>288</v>
      </c>
      <c r="B24" s="22"/>
      <c r="C24" s="22"/>
      <c r="D24" s="84" t="n">
        <v>0.0991504305585652</v>
      </c>
      <c r="E24" s="39" t="s">
        <v>289</v>
      </c>
      <c r="F24" s="39"/>
      <c r="G24" s="39"/>
      <c r="H24" s="39"/>
      <c r="I24" s="39"/>
      <c r="J24" s="39"/>
    </row>
    <row r="25" customFormat="false" ht="15" hidden="false" customHeight="true" outlineLevel="0" collapsed="false">
      <c r="A25" s="22" t="s">
        <v>680</v>
      </c>
      <c r="B25" s="22"/>
      <c r="C25" s="22"/>
      <c r="D25" s="35" t="n">
        <v>26330.81</v>
      </c>
      <c r="E25" s="39" t="s">
        <v>291</v>
      </c>
      <c r="F25" s="39"/>
      <c r="G25" s="39"/>
      <c r="H25" s="39"/>
      <c r="I25" s="39"/>
      <c r="J25" s="39"/>
    </row>
    <row r="26" customFormat="false" ht="15" hidden="false" customHeight="true" outlineLevel="0" collapsed="false">
      <c r="A26" s="22" t="s">
        <v>292</v>
      </c>
      <c r="B26" s="22"/>
      <c r="C26" s="22"/>
      <c r="D26" s="35" t="n">
        <v>0</v>
      </c>
      <c r="E26" s="36"/>
      <c r="F26" s="36"/>
      <c r="G26" s="36"/>
      <c r="H26" s="36"/>
      <c r="I26" s="36"/>
      <c r="J26" s="36"/>
    </row>
    <row r="27" customFormat="false" ht="15" hidden="false" customHeight="true" outlineLevel="0" collapsed="false">
      <c r="A27" s="22" t="s">
        <v>293</v>
      </c>
      <c r="B27" s="22"/>
      <c r="C27" s="22"/>
      <c r="D27" s="35" t="n">
        <v>155398.13</v>
      </c>
      <c r="E27" s="36"/>
      <c r="F27" s="36"/>
      <c r="G27" s="36"/>
      <c r="H27" s="36"/>
      <c r="I27" s="36"/>
      <c r="J27" s="36"/>
    </row>
    <row r="28" customFormat="false" ht="15" hidden="false" customHeight="true" outlineLevel="0" collapsed="false">
      <c r="A28" s="22" t="s">
        <v>294</v>
      </c>
      <c r="B28" s="22"/>
      <c r="C28" s="22"/>
      <c r="D28" s="84" t="n">
        <v>0.119377945536453</v>
      </c>
      <c r="E28" s="39" t="s">
        <v>295</v>
      </c>
      <c r="F28" s="39"/>
      <c r="G28" s="39"/>
      <c r="H28" s="39"/>
      <c r="I28" s="39"/>
      <c r="J28" s="39"/>
    </row>
    <row r="29" customFormat="false" ht="27.75" hidden="false" customHeight="true" outlineLevel="0" collapsed="false">
      <c r="A29" s="40" t="s">
        <v>681</v>
      </c>
      <c r="B29" s="40"/>
      <c r="C29" s="40"/>
      <c r="D29" s="40"/>
      <c r="E29" s="40"/>
      <c r="F29" s="40"/>
      <c r="G29" s="40"/>
      <c r="H29" s="40"/>
      <c r="I29" s="40"/>
      <c r="J29" s="40"/>
    </row>
    <row r="30" customFormat="false" ht="15" hidden="false" customHeight="false" outlineLevel="0" collapsed="false">
      <c r="A30" s="85" t="s">
        <v>682</v>
      </c>
      <c r="B30" s="85"/>
      <c r="C30" s="85"/>
      <c r="D30" s="85"/>
      <c r="E30" s="85"/>
      <c r="F30" s="85"/>
      <c r="G30" s="85"/>
      <c r="H30" s="85"/>
      <c r="I30" s="85"/>
      <c r="J30" s="85"/>
    </row>
    <row r="32" customFormat="false" ht="15" hidden="false" customHeight="false" outlineLevel="0" collapsed="false">
      <c r="A32" s="25" t="s">
        <v>298</v>
      </c>
    </row>
    <row r="33" customFormat="false" ht="15" hidden="false" customHeight="true" outlineLevel="0" collapsed="false">
      <c r="A33" s="22" t="s">
        <v>299</v>
      </c>
      <c r="B33" s="22"/>
      <c r="C33" s="22"/>
      <c r="D33" s="42" t="n">
        <v>0</v>
      </c>
      <c r="E33" s="43" t="s">
        <v>300</v>
      </c>
      <c r="F33" s="43"/>
      <c r="G33" s="43"/>
      <c r="H33" s="43"/>
      <c r="I33" s="43"/>
      <c r="J33" s="43"/>
    </row>
    <row r="34" customFormat="false" ht="15" hidden="false" customHeight="true" outlineLevel="0" collapsed="false">
      <c r="A34" s="22" t="s">
        <v>301</v>
      </c>
      <c r="B34" s="22"/>
      <c r="C34" s="22"/>
      <c r="D34" s="34" t="s">
        <v>302</v>
      </c>
      <c r="E34" s="43" t="s">
        <v>303</v>
      </c>
      <c r="F34" s="43"/>
      <c r="G34" s="43"/>
      <c r="H34" s="43"/>
      <c r="I34" s="43"/>
      <c r="J34" s="43"/>
    </row>
    <row r="35" customFormat="false" ht="15" hidden="false" customHeight="true" outlineLevel="0" collapsed="false">
      <c r="A35" s="22" t="s">
        <v>304</v>
      </c>
      <c r="B35" s="22"/>
      <c r="C35" s="22"/>
      <c r="D35" s="44"/>
      <c r="E35" s="43" t="s">
        <v>305</v>
      </c>
      <c r="F35" s="43"/>
      <c r="G35" s="43"/>
      <c r="H35" s="43"/>
      <c r="I35" s="43"/>
      <c r="J35" s="43"/>
    </row>
    <row r="36" customFormat="false" ht="23.85" hidden="false" customHeight="true" outlineLevel="0" collapsed="false">
      <c r="A36" s="22" t="s">
        <v>306</v>
      </c>
      <c r="B36" s="22"/>
      <c r="C36" s="22"/>
      <c r="D36" s="45" t="str">
        <f aca="false">IF(OR($D$33="",E18=""),"",IF($D$33=0,"— (no % rent)",E18/$D$33))</f>
        <v>— (no % rent)</v>
      </c>
      <c r="E36" s="43" t="s">
        <v>307</v>
      </c>
      <c r="F36" s="43"/>
      <c r="G36" s="43"/>
      <c r="H36" s="43"/>
      <c r="I36" s="43"/>
      <c r="J36" s="43"/>
    </row>
    <row r="37" customFormat="false" ht="23.85" hidden="false" customHeight="true" outlineLevel="0" collapsed="false">
      <c r="A37" s="22" t="s">
        <v>308</v>
      </c>
      <c r="B37" s="22"/>
      <c r="C37" s="22"/>
      <c r="D37" s="45" t="str">
        <f aca="false">IF($D$33="","",IF($D$33=0,"— (no % rent)",IF($D$35&lt;&gt;"",$D$35,IF(E18="","",E18/$D$33))))</f>
        <v>— (no % rent)</v>
      </c>
      <c r="E37" s="36"/>
      <c r="F37" s="36"/>
      <c r="G37" s="36"/>
      <c r="H37" s="36"/>
      <c r="I37" s="36"/>
      <c r="J37" s="36"/>
    </row>
    <row r="38" customFormat="false" ht="15" hidden="false" customHeight="true" outlineLevel="0" collapsed="false">
      <c r="A38" s="22" t="s">
        <v>309</v>
      </c>
      <c r="B38" s="22"/>
      <c r="C38" s="22"/>
      <c r="D38" s="45" t="n">
        <f aca="false">IF(OR($D$33="",D13=""),"",IF($D$33=0,0,IF($D$37="","",MAX(0,D13-$D$37)*$D$33)))</f>
        <v>0</v>
      </c>
      <c r="E38" s="36"/>
      <c r="F38" s="36"/>
      <c r="G38" s="36"/>
      <c r="H38" s="36"/>
      <c r="I38" s="36"/>
      <c r="J38" s="36"/>
    </row>
    <row r="39" customFormat="false" ht="15" hidden="false" customHeight="true" outlineLevel="0" collapsed="false">
      <c r="A39" s="22" t="s">
        <v>310</v>
      </c>
      <c r="B39" s="22"/>
      <c r="C39" s="22"/>
      <c r="D39" s="45" t="n">
        <f aca="false">IF(OR(D38="",E18=""),"",E18+D38)</f>
        <v>129067.32</v>
      </c>
      <c r="E39" s="36"/>
      <c r="F39" s="36"/>
      <c r="G39" s="36"/>
      <c r="H39" s="36"/>
      <c r="I39" s="36"/>
      <c r="J39" s="36"/>
    </row>
    <row r="40" customFormat="false" ht="15" hidden="false" customHeight="true" outlineLevel="0" collapsed="false">
      <c r="A40" s="22" t="s">
        <v>311</v>
      </c>
      <c r="B40" s="22"/>
      <c r="C40" s="22"/>
      <c r="D40" s="46" t="n">
        <f aca="false">IF(OR(D39="",D13=""),"",D39/D13)</f>
        <v>0.0991504305585652</v>
      </c>
      <c r="E40" s="36"/>
      <c r="F40" s="36"/>
      <c r="G40" s="36"/>
      <c r="H40" s="36"/>
      <c r="I40" s="36"/>
      <c r="J40" s="36"/>
    </row>
    <row r="42" customFormat="false" ht="15" hidden="false" customHeight="false" outlineLevel="0" collapsed="false">
      <c r="A42" s="25" t="s">
        <v>312</v>
      </c>
    </row>
    <row r="43" customFormat="false" ht="22.35" hidden="false" customHeight="false" outlineLevel="0" collapsed="false">
      <c r="A43" s="26" t="s">
        <v>313</v>
      </c>
      <c r="B43" s="26" t="s">
        <v>314</v>
      </c>
      <c r="C43" s="26" t="s">
        <v>315</v>
      </c>
      <c r="D43" s="26" t="s">
        <v>316</v>
      </c>
      <c r="E43" s="26" t="s">
        <v>317</v>
      </c>
      <c r="F43" s="26" t="s">
        <v>318</v>
      </c>
      <c r="G43" s="26" t="s">
        <v>319</v>
      </c>
      <c r="H43" s="26" t="s">
        <v>269</v>
      </c>
      <c r="I43" s="26" t="s">
        <v>320</v>
      </c>
      <c r="J43" s="26" t="s">
        <v>321</v>
      </c>
    </row>
    <row r="44" customFormat="false" ht="22.35" hidden="false" customHeight="false" outlineLevel="0" collapsed="false">
      <c r="A44" s="47" t="s">
        <v>667</v>
      </c>
      <c r="B44" s="47" t="s">
        <v>668</v>
      </c>
      <c r="C44" s="47" t="s">
        <v>669</v>
      </c>
      <c r="D44" s="47" t="s">
        <v>683</v>
      </c>
      <c r="E44" s="48"/>
      <c r="F44" s="47" t="s">
        <v>453</v>
      </c>
      <c r="G44" s="47" t="s">
        <v>327</v>
      </c>
      <c r="H44" s="49" t="n">
        <v>138456</v>
      </c>
      <c r="I44" s="47" t="s">
        <v>334</v>
      </c>
      <c r="J44" s="47" t="s">
        <v>684</v>
      </c>
    </row>
    <row r="45" customFormat="false" ht="22.35" hidden="false" customHeight="false" outlineLevel="0" collapsed="false">
      <c r="A45" s="47" t="s">
        <v>322</v>
      </c>
      <c r="B45" s="47" t="s">
        <v>323</v>
      </c>
      <c r="C45" s="47" t="s">
        <v>324</v>
      </c>
      <c r="D45" s="47" t="s">
        <v>325</v>
      </c>
      <c r="E45" s="48"/>
      <c r="F45" s="47" t="s">
        <v>326</v>
      </c>
      <c r="G45" s="47" t="s">
        <v>327</v>
      </c>
      <c r="H45" s="49" t="n">
        <v>209376</v>
      </c>
      <c r="I45" s="47" t="s">
        <v>334</v>
      </c>
      <c r="J45" s="47" t="s">
        <v>685</v>
      </c>
    </row>
    <row r="46" customFormat="false" ht="15" hidden="false" customHeight="false" outlineLevel="0" collapsed="false">
      <c r="A46" s="52" t="s">
        <v>344</v>
      </c>
      <c r="B46" s="52"/>
      <c r="C46" s="52"/>
      <c r="D46" s="52"/>
      <c r="E46" s="52"/>
      <c r="F46" s="52"/>
      <c r="G46" s="52"/>
      <c r="H46" s="53" t="n">
        <f aca="false">IF(COUNT(H44:H45)=0,"",AVERAGE(H44:H45))</f>
        <v>173916</v>
      </c>
      <c r="I46" s="52" t="str">
        <f aca="false">IF(COUNT(H44:H45)=0,"",TEXT(MIN(H44:H45),"$#,##0")&amp;" – "&amp;TEXT(MAX(H44:H45),"$#,##0"))</f>
        <v>$138,456 – $209,376</v>
      </c>
      <c r="J46" s="36"/>
    </row>
    <row r="48" customFormat="false" ht="15" hidden="false" customHeight="false" outlineLevel="0" collapsed="false">
      <c r="A48" s="25" t="s">
        <v>345</v>
      </c>
    </row>
    <row r="49" customFormat="false" ht="53.7" hidden="false" customHeight="true" outlineLevel="0" collapsed="false">
      <c r="A49" s="26" t="s">
        <v>346</v>
      </c>
      <c r="B49" s="26"/>
      <c r="C49" s="26"/>
      <c r="D49" s="26" t="s">
        <v>347</v>
      </c>
      <c r="E49" s="26" t="s">
        <v>348</v>
      </c>
      <c r="F49" s="26" t="s">
        <v>349</v>
      </c>
      <c r="G49" s="26" t="s">
        <v>350</v>
      </c>
      <c r="H49" s="54" t="s">
        <v>351</v>
      </c>
    </row>
    <row r="50" customFormat="false" ht="68.65" hidden="false" customHeight="true" outlineLevel="0" collapsed="false">
      <c r="A50" s="22" t="s">
        <v>352</v>
      </c>
      <c r="B50" s="22"/>
      <c r="C50" s="22"/>
      <c r="D50" s="55" t="s">
        <v>353</v>
      </c>
      <c r="E50" s="56"/>
      <c r="F50" s="56"/>
      <c r="G50" s="56"/>
      <c r="H50" s="56"/>
    </row>
    <row r="51" customFormat="false" ht="15" hidden="false" customHeight="true" outlineLevel="0" collapsed="false">
      <c r="A51" s="22" t="s">
        <v>354</v>
      </c>
      <c r="B51" s="22"/>
      <c r="C51" s="22"/>
      <c r="D51" s="57" t="n">
        <v>129067</v>
      </c>
      <c r="E51" s="57"/>
      <c r="F51" s="57"/>
      <c r="G51" s="57"/>
      <c r="H51" s="57"/>
    </row>
    <row r="52" customFormat="false" ht="15" hidden="false" customHeight="true" outlineLevel="0" collapsed="false">
      <c r="A52" s="22" t="s">
        <v>355</v>
      </c>
      <c r="B52" s="22"/>
      <c r="C52" s="22"/>
      <c r="D52" s="58" t="n">
        <v>0.02</v>
      </c>
      <c r="E52" s="58"/>
      <c r="F52" s="58"/>
      <c r="G52" s="58"/>
      <c r="H52" s="58"/>
    </row>
    <row r="53" customFormat="false" ht="15" hidden="false" customHeight="true" outlineLevel="0" collapsed="false">
      <c r="A53" s="22" t="s">
        <v>356</v>
      </c>
      <c r="B53" s="22"/>
      <c r="C53" s="22"/>
      <c r="D53" s="56" t="n">
        <v>5</v>
      </c>
      <c r="E53" s="56"/>
      <c r="F53" s="56"/>
      <c r="G53" s="56"/>
      <c r="H53" s="56"/>
    </row>
    <row r="54" customFormat="false" ht="15" hidden="false" customHeight="true" outlineLevel="0" collapsed="false">
      <c r="A54" s="22" t="s">
        <v>357</v>
      </c>
      <c r="B54" s="22"/>
      <c r="C54" s="22"/>
      <c r="D54" s="59" t="n">
        <v>20</v>
      </c>
      <c r="E54" s="59"/>
      <c r="F54" s="59"/>
      <c r="G54" s="59"/>
      <c r="H54" s="59"/>
    </row>
    <row r="55" customFormat="false" ht="15" hidden="false" customHeight="true" outlineLevel="0" collapsed="false">
      <c r="A55" s="22" t="s">
        <v>358</v>
      </c>
      <c r="B55" s="22"/>
      <c r="C55" s="22"/>
      <c r="D55" s="60" t="n">
        <f aca="false">IF(OR(D51="",E18=""),"",D51-E18)</f>
        <v>-0.320000000006985</v>
      </c>
      <c r="E55" s="60" t="str">
        <f aca="false">IF(OR(E51="",E18=""),"",E51-E18)</f>
        <v/>
      </c>
      <c r="F55" s="60" t="str">
        <f aca="false">IF(OR(F51="",E18=""),"",F51-E18)</f>
        <v/>
      </c>
      <c r="G55" s="60" t="str">
        <f aca="false">IF(OR(G51="",E18=""),"",G51-E18)</f>
        <v/>
      </c>
      <c r="H55" s="60" t="str">
        <f aca="false">IF(OR(H51="",E18=""),"",H51-E18)</f>
        <v/>
      </c>
    </row>
    <row r="56" customFormat="false" ht="15" hidden="false" customHeight="true" outlineLevel="0" collapsed="false">
      <c r="A56" s="22" t="s">
        <v>359</v>
      </c>
      <c r="B56" s="22"/>
      <c r="C56" s="22"/>
      <c r="D56" s="61" t="n">
        <f aca="false">IF(OR(D51="",E18=""),"",(D51-E18)/E18)</f>
        <v>-2.47932629272061E-006</v>
      </c>
      <c r="E56" s="61" t="str">
        <f aca="false">IF(OR(E51="",E18=""),"",(E51-E18)/E18)</f>
        <v/>
      </c>
      <c r="F56" s="61" t="str">
        <f aca="false">IF(OR(F51="",E18=""),"",(F51-E18)/E18)</f>
        <v/>
      </c>
      <c r="G56" s="61" t="str">
        <f aca="false">IF(OR(G51="",E18=""),"",(G51-E18)/E18)</f>
        <v/>
      </c>
      <c r="H56" s="61" t="str">
        <f aca="false">IF(OR(H51="",E18=""),"",(H51-E18)/E18)</f>
        <v/>
      </c>
    </row>
    <row r="57" customFormat="false" ht="15" hidden="false" customHeight="true" outlineLevel="0" collapsed="false">
      <c r="A57" s="22" t="s">
        <v>360</v>
      </c>
      <c r="B57" s="22"/>
      <c r="C57" s="22"/>
      <c r="D57" s="62" t="n">
        <f aca="false">IF(OR(D51="",D13=""),"",D51/D13)</f>
        <v>0.0991501847322958</v>
      </c>
      <c r="E57" s="62" t="str">
        <f aca="false">IF(OR(E51="",D13=""),"",E51/D13)</f>
        <v/>
      </c>
      <c r="F57" s="62" t="str">
        <f aca="false">IF(OR(F51="",D13=""),"",F51/D13)</f>
        <v/>
      </c>
      <c r="G57" s="62" t="str">
        <f aca="false">IF(OR(G51="",D13=""),"",G51/D13)</f>
        <v/>
      </c>
      <c r="H57" s="62" t="str">
        <f aca="false">IF(OR(H51="",D13=""),"",H51/D13)</f>
        <v/>
      </c>
    </row>
    <row r="58" customFormat="false" ht="15" hidden="false" customHeight="true" outlineLevel="0" collapsed="false">
      <c r="A58" s="22" t="s">
        <v>361</v>
      </c>
      <c r="B58" s="22"/>
      <c r="C58" s="22"/>
      <c r="D58" s="61" t="n">
        <f aca="false">IF(OR(D51="",H46=""),"",(D51-H46)/H46)</f>
        <v>-0.257877366084777</v>
      </c>
      <c r="E58" s="61" t="str">
        <f aca="false">IF(OR(E51="",H46=""),"",(E51-H46)/H46)</f>
        <v/>
      </c>
      <c r="F58" s="61" t="str">
        <f aca="false">IF(OR(F51="",H46=""),"",(F51-H46)/H46)</f>
        <v/>
      </c>
      <c r="G58" s="61" t="str">
        <f aca="false">IF(OR(G51="",H46=""),"",(G51-H46)/H46)</f>
        <v/>
      </c>
      <c r="H58" s="61" t="str">
        <f aca="false">IF(OR(H51="",H46=""),"",(H51-H46)/H46)</f>
        <v/>
      </c>
    </row>
    <row r="59" customFormat="false" ht="15" hidden="false" customHeight="true" outlineLevel="0" collapsed="false">
      <c r="A59" s="22" t="s">
        <v>362</v>
      </c>
      <c r="B59" s="22"/>
      <c r="C59" s="22"/>
      <c r="D59" s="63" t="n">
        <f aca="true">IF(D51="","",SUMPRODUCT(D51*(1+IF(D52="",0,D52))^ROUNDDOWN((ROW(INDIRECT("1:10"))-1)/IF(D53="",5,D53),0)))</f>
        <v>1303576.7</v>
      </c>
      <c r="E59" s="63" t="str">
        <f aca="true">IF(E51="","",SUMPRODUCT(E51*(1+IF(E52="",0,E52))^ROUNDDOWN((ROW(INDIRECT("1:10"))-1)/IF(E53="",5,E53),0)))</f>
        <v/>
      </c>
      <c r="F59" s="63" t="str">
        <f aca="true">IF(F51="","",SUMPRODUCT(F51*(1+IF(F52="",0,F52))^ROUNDDOWN((ROW(INDIRECT("1:10"))-1)/IF(F53="",5,F53),0)))</f>
        <v/>
      </c>
      <c r="G59" s="63" t="str">
        <f aca="true">IF(G51="","",SUMPRODUCT(G51*(1+IF(G52="",0,G52))^ROUNDDOWN((ROW(INDIRECT("1:10"))-1)/IF(G53="",5,G53),0)))</f>
        <v/>
      </c>
      <c r="H59" s="63" t="str">
        <f aca="true">IF(H51="","",SUMPRODUCT(H51*(1+IF(H52="",0,H52))^ROUNDDOWN((ROW(INDIRECT("1:10"))-1)/IF(H53="",5,H53),0)))</f>
        <v/>
      </c>
    </row>
    <row r="60" customFormat="false" ht="15" hidden="false" customHeight="true" outlineLevel="0" collapsed="false">
      <c r="A60" s="22" t="s">
        <v>363</v>
      </c>
      <c r="B60" s="22"/>
      <c r="C60" s="22"/>
      <c r="D60" s="60" t="str">
        <f aca="false">IF(OR(D59="",E19=""),"",D59-E19)</f>
        <v/>
      </c>
      <c r="E60" s="60" t="str">
        <f aca="false">IF(OR(E59="",E19=""),"",E59-E19)</f>
        <v/>
      </c>
      <c r="F60" s="60" t="str">
        <f aca="false">IF(OR(F59="",E19=""),"",F59-E19)</f>
        <v/>
      </c>
      <c r="G60" s="60" t="str">
        <f aca="false">IF(OR(G59="",E19=""),"",G59-E19)</f>
        <v/>
      </c>
      <c r="H60" s="60" t="str">
        <f aca="false">IF(OR(H59="",E19=""),"",H59-E19)</f>
        <v/>
      </c>
    </row>
    <row r="61" customFormat="false" ht="23.85" hidden="false" customHeight="true" outlineLevel="0" collapsed="false">
      <c r="A61" s="22" t="s">
        <v>364</v>
      </c>
      <c r="B61" s="22"/>
      <c r="C61" s="22"/>
      <c r="D61" s="58"/>
      <c r="E61" s="58"/>
      <c r="F61" s="58"/>
      <c r="G61" s="58"/>
      <c r="H61" s="58"/>
    </row>
    <row r="62" customFormat="false" ht="23.85" hidden="false" customHeight="true" outlineLevel="0" collapsed="false">
      <c r="A62" s="22" t="s">
        <v>365</v>
      </c>
      <c r="B62" s="22"/>
      <c r="C62" s="22"/>
      <c r="D62" s="57"/>
      <c r="E62" s="57"/>
      <c r="F62" s="57"/>
      <c r="G62" s="57"/>
      <c r="H62" s="57"/>
    </row>
    <row r="63" customFormat="false" ht="15" hidden="false" customHeight="true" outlineLevel="0" collapsed="false">
      <c r="A63" s="22" t="s">
        <v>366</v>
      </c>
      <c r="B63" s="22"/>
      <c r="C63" s="22"/>
      <c r="D63" s="63" t="str">
        <f aca="false">IF(OR(D51="",AND(D61="",$D$33="")),"",IF(IF(D61="",IF($D$33="",0,$D$33),D61)=0,"— (% rent removed)",IF(D62&lt;&gt;"",D62,IF($D$35&lt;&gt;"",$D$35,D51/IF(D61="",IF($D$33="",0,$D$33),D61)))))</f>
        <v>— (% rent removed)</v>
      </c>
      <c r="E63" s="63" t="str">
        <f aca="false">IF(OR(E51="",AND(E61="",$D$33="")),"",IF(IF(E61="",IF($D$33="",0,$D$33),E61)=0,"— (% rent removed)",IF(E62&lt;&gt;"",E62,IF($D$35&lt;&gt;"",$D$35,E51/IF(E61="",IF($D$33="",0,$D$33),E61)))))</f>
        <v/>
      </c>
      <c r="F63" s="63" t="str">
        <f aca="false">IF(OR(F51="",AND(F61="",$D$33="")),"",IF(IF(F61="",IF($D$33="",0,$D$33),F61)=0,"— (% rent removed)",IF(F62&lt;&gt;"",F62,IF($D$35&lt;&gt;"",$D$35,F51/IF(F61="",IF($D$33="",0,$D$33),F61)))))</f>
        <v/>
      </c>
      <c r="G63" s="63" t="str">
        <f aca="false">IF(OR(G51="",AND(G61="",$D$33="")),"",IF(IF(G61="",IF($D$33="",0,$D$33),G61)=0,"— (% rent removed)",IF(G62&lt;&gt;"",G62,IF($D$35&lt;&gt;"",$D$35,G51/IF(G61="",IF($D$33="",0,$D$33),G61)))))</f>
        <v/>
      </c>
      <c r="H63" s="63" t="str">
        <f aca="false">IF(OR(H51="",AND(H61="",$D$33="")),"",IF(IF(H61="",IF($D$33="",0,$D$33),H61)=0,"— (% rent removed)",IF(H62&lt;&gt;"",H62,IF($D$35&lt;&gt;"",$D$35,H51/IF(H61="",IF($D$33="",0,$D$33),H61)))))</f>
        <v/>
      </c>
    </row>
    <row r="64" customFormat="false" ht="15" hidden="false" customHeight="true" outlineLevel="0" collapsed="false">
      <c r="A64" s="22" t="s">
        <v>367</v>
      </c>
      <c r="B64" s="22"/>
      <c r="C64" s="22"/>
      <c r="D64" s="63" t="n">
        <f aca="false">IF(OR(D51="",AND(D61="",$D$33=""),D13=""),"",IF(IF(D61="",IF($D$33="",0,$D$33),D61)=0,0,MAX(0,D13-D63)*IF(D61="",IF($D$33="",0,$D$33),D61)))</f>
        <v>0</v>
      </c>
      <c r="E64" s="63" t="str">
        <f aca="false">IF(OR(E51="",AND(E61="",$D$33=""),D13=""),"",IF(IF(E61="",IF($D$33="",0,$D$33),E61)=0,0,MAX(0,D13-E63)*IF(E61="",IF($D$33="",0,$D$33),E61)))</f>
        <v/>
      </c>
      <c r="F64" s="63" t="str">
        <f aca="false">IF(OR(F51="",AND(F61="",$D$33=""),D13=""),"",IF(IF(F61="",IF($D$33="",0,$D$33),F61)=0,0,MAX(0,D13-F63)*IF(F61="",IF($D$33="",0,$D$33),F61)))</f>
        <v/>
      </c>
      <c r="G64" s="63" t="str">
        <f aca="false">IF(OR(G51="",AND(G61="",$D$33=""),D13=""),"",IF(IF(G61="",IF($D$33="",0,$D$33),G61)=0,0,MAX(0,D13-G63)*IF(G61="",IF($D$33="",0,$D$33),G61)))</f>
        <v/>
      </c>
      <c r="H64" s="63" t="str">
        <f aca="false">IF(OR(H51="",AND(H61="",$D$33=""),D13=""),"",IF(IF(H61="",IF($D$33="",0,$D$33),H61)=0,0,MAX(0,D13-H63)*IF(H61="",IF($D$33="",0,$D$33),H61)))</f>
        <v/>
      </c>
    </row>
    <row r="65" customFormat="false" ht="15" hidden="false" customHeight="true" outlineLevel="0" collapsed="false">
      <c r="A65" s="22" t="s">
        <v>368</v>
      </c>
      <c r="B65" s="22"/>
      <c r="C65" s="22"/>
      <c r="D65" s="63" t="n">
        <f aca="false">IF(OR(D51="",D64=""),"",D51+D64)</f>
        <v>129067</v>
      </c>
      <c r="E65" s="63" t="str">
        <f aca="false">IF(OR(E51="",E64=""),"",E51+E64)</f>
        <v/>
      </c>
      <c r="F65" s="63" t="str">
        <f aca="false">IF(OR(F51="",F64=""),"",F51+F64)</f>
        <v/>
      </c>
      <c r="G65" s="63" t="str">
        <f aca="false">IF(OR(G51="",G64=""),"",G51+G64)</f>
        <v/>
      </c>
      <c r="H65" s="63" t="str">
        <f aca="false">IF(OR(H51="",H64=""),"",H51+H64)</f>
        <v/>
      </c>
    </row>
    <row r="66" customFormat="false" ht="15" hidden="false" customHeight="true" outlineLevel="0" collapsed="false">
      <c r="A66" s="22" t="s">
        <v>369</v>
      </c>
      <c r="B66" s="22"/>
      <c r="C66" s="22"/>
      <c r="D66" s="62" t="n">
        <f aca="false">IF(OR(D65="",D13=""),"",D65/D13)</f>
        <v>0.0991501847322958</v>
      </c>
      <c r="E66" s="62" t="str">
        <f aca="false">IF(OR(E65="",D13=""),"",E65/D13)</f>
        <v/>
      </c>
      <c r="F66" s="62" t="str">
        <f aca="false">IF(OR(F65="",D13=""),"",F65/D13)</f>
        <v/>
      </c>
      <c r="G66" s="62" t="str">
        <f aca="false">IF(OR(G65="",D13=""),"",G65/D13)</f>
        <v/>
      </c>
      <c r="H66" s="62" t="str">
        <f aca="false">IF(OR(H65="",D13=""),"",H65/D13)</f>
        <v/>
      </c>
    </row>
    <row r="67" customFormat="false" ht="23.85" hidden="false" customHeight="true" outlineLevel="0" collapsed="false">
      <c r="A67" s="22" t="s">
        <v>370</v>
      </c>
      <c r="B67" s="22"/>
      <c r="C67" s="22"/>
      <c r="D67" s="64" t="n">
        <f aca="false">IF(D65="","",(183939.22-D65)/1301732.32)</f>
        <v>0.0421532285531637</v>
      </c>
      <c r="E67" s="64" t="str">
        <f aca="false">IF(E65="","",(183939.22-E65)/1301732.32)</f>
        <v/>
      </c>
      <c r="F67" s="64" t="str">
        <f aca="false">IF(F65="","",(183939.22-F65)/1301732.32)</f>
        <v/>
      </c>
      <c r="G67" s="64" t="str">
        <f aca="false">IF(G65="","",(183939.22-G65)/1301732.32)</f>
        <v/>
      </c>
      <c r="H67" s="64" t="str">
        <f aca="false">IF(H65="","",(183939.22-H65)/1301732.32)</f>
        <v/>
      </c>
    </row>
    <row r="68" customFormat="false" ht="15" hidden="false" customHeight="true" outlineLevel="0" collapsed="false">
      <c r="A68" s="22" t="s">
        <v>371</v>
      </c>
      <c r="B68" s="22"/>
      <c r="C68" s="22"/>
      <c r="D68" s="63" t="n">
        <f aca="true">IF(OR(D51="",AND(D61="",$D$33=""),D13=""),"",IF(IF(D61="",IF($D$33="",0,$D$33),D61)=0,0,SUMPRODUCT(((D13*1.02^(ROW(INDIRECT("1:10"))-1))-(IF(D62&lt;&gt;"",D62,IF($D$35&lt;&gt;"",$D$35,(D51*(1+IF(D52="",0,D52))^ROUNDDOWN((ROW(INDIRECT("1:10"))-1)/IF(D53="",5,D53),0))/IF(D61="",IF($D$33="",0,$D$33),D61))))&gt;0)*((D13*1.02^(ROW(INDIRECT("1:10"))-1))-(IF(D62&lt;&gt;"",D62,IF($D$35&lt;&gt;"",$D$35,(D51*(1+IF(D52="",0,D52))^ROUNDDOWN((ROW(INDIRECT("1:10"))-1)/IF(D53="",5,D53),0))/IF(D61="",IF($D$33="",0,$D$33),D61))))))*IF(D61="",IF($D$33="",0,$D$33),D61)))</f>
        <v>0</v>
      </c>
      <c r="E68" s="63" t="str">
        <f aca="true">IF(OR(E51="",AND(E61="",$D$33=""),D13=""),"",IF(IF(E61="",IF($D$33="",0,$D$33),E61)=0,0,SUMPRODUCT(((D13*1.02^(ROW(INDIRECT("1:10"))-1))-(IF(E62&lt;&gt;"",E62,IF($D$35&lt;&gt;"",$D$35,(E51*(1+IF(E52="",0,E52))^ROUNDDOWN((ROW(INDIRECT("1:10"))-1)/IF(E53="",5,E53),0))/IF(E61="",IF($D$33="",0,$D$33),E61))))&gt;0)*((D13*1.02^(ROW(INDIRECT("1:10"))-1))-(IF(E62&lt;&gt;"",E62,IF($D$35&lt;&gt;"",$D$35,(E51*(1+IF(E52="",0,E52))^ROUNDDOWN((ROW(INDIRECT("1:10"))-1)/IF(E53="",5,E53),0))/IF(E61="",IF($D$33="",0,$D$33),E61))))))*IF(E61="",IF($D$33="",0,$D$33),E61)))</f>
        <v/>
      </c>
      <c r="F68" s="63" t="str">
        <f aca="true">IF(OR(F51="",AND(F61="",$D$33=""),D13=""),"",IF(IF(F61="",IF($D$33="",0,$D$33),F61)=0,0,SUMPRODUCT(((D13*1.02^(ROW(INDIRECT("1:10"))-1))-(IF(F62&lt;&gt;"",F62,IF($D$35&lt;&gt;"",$D$35,(F51*(1+IF(F52="",0,F52))^ROUNDDOWN((ROW(INDIRECT("1:10"))-1)/IF(F53="",5,F53),0))/IF(F61="",IF($D$33="",0,$D$33),F61))))&gt;0)*((D13*1.02^(ROW(INDIRECT("1:10"))-1))-(IF(F62&lt;&gt;"",F62,IF($D$35&lt;&gt;"",$D$35,(F51*(1+IF(F52="",0,F52))^ROUNDDOWN((ROW(INDIRECT("1:10"))-1)/IF(F53="",5,F53),0))/IF(F61="",IF($D$33="",0,$D$33),F61))))))*IF(F61="",IF($D$33="",0,$D$33),F61)))</f>
        <v/>
      </c>
      <c r="G68" s="63" t="str">
        <f aca="true">IF(OR(G51="",AND(G61="",$D$33=""),D13=""),"",IF(IF(G61="",IF($D$33="",0,$D$33),G61)=0,0,SUMPRODUCT(((D13*1.02^(ROW(INDIRECT("1:10"))-1))-(IF(G62&lt;&gt;"",G62,IF($D$35&lt;&gt;"",$D$35,(G51*(1+IF(G52="",0,G52))^ROUNDDOWN((ROW(INDIRECT("1:10"))-1)/IF(G53="",5,G53),0))/IF(G61="",IF($D$33="",0,$D$33),G61))))&gt;0)*((D13*1.02^(ROW(INDIRECT("1:10"))-1))-(IF(G62&lt;&gt;"",G62,IF($D$35&lt;&gt;"",$D$35,(G51*(1+IF(G52="",0,G52))^ROUNDDOWN((ROW(INDIRECT("1:10"))-1)/IF(G53="",5,G53),0))/IF(G61="",IF($D$33="",0,$D$33),G61))))))*IF(G61="",IF($D$33="",0,$D$33),G61)))</f>
        <v/>
      </c>
      <c r="H68" s="63" t="str">
        <f aca="true">IF(OR(H51="",AND(H61="",$D$33=""),D13=""),"",IF(IF(H61="",IF($D$33="",0,$D$33),H61)=0,0,SUMPRODUCT(((D13*1.02^(ROW(INDIRECT("1:10"))-1))-(IF(H62&lt;&gt;"",H62,IF($D$35&lt;&gt;"",$D$35,(H51*(1+IF(H52="",0,H52))^ROUNDDOWN((ROW(INDIRECT("1:10"))-1)/IF(H53="",5,H53),0))/IF(H61="",IF($D$33="",0,$D$33),H61))))&gt;0)*((D13*1.02^(ROW(INDIRECT("1:10"))-1))-(IF(H62&lt;&gt;"",H62,IF($D$35&lt;&gt;"",$D$35,(H51*(1+IF(H52="",0,H52))^ROUNDDOWN((ROW(INDIRECT("1:10"))-1)/IF(H53="",5,H53),0))/IF(H61="",IF($D$33="",0,$D$33),H61))))))*IF(H61="",IF($D$33="",0,$D$33),H61)))</f>
        <v/>
      </c>
    </row>
    <row r="69" customFormat="false" ht="15" hidden="false" customHeight="true" outlineLevel="0" collapsed="false">
      <c r="A69" s="22" t="s">
        <v>372</v>
      </c>
      <c r="B69" s="22"/>
      <c r="C69" s="22"/>
      <c r="D69" s="63" t="n">
        <f aca="false">IF(OR(D59="",D68=""),"",D59+D68)</f>
        <v>1303576.7</v>
      </c>
      <c r="E69" s="63" t="str">
        <f aca="false">IF(OR(E59="",E68=""),"",E59+E68)</f>
        <v/>
      </c>
      <c r="F69" s="63" t="str">
        <f aca="false">IF(OR(F59="",F68=""),"",F59+F68)</f>
        <v/>
      </c>
      <c r="G69" s="63" t="str">
        <f aca="false">IF(OR(G59="",G68=""),"",G59+G68)</f>
        <v/>
      </c>
      <c r="H69" s="63" t="str">
        <f aca="false">IF(OR(H59="",H68=""),"",H59+H68)</f>
        <v/>
      </c>
    </row>
    <row r="70" customFormat="false" ht="23.85" hidden="false" customHeight="true" outlineLevel="0" collapsed="false">
      <c r="A70" s="22" t="s">
        <v>373</v>
      </c>
      <c r="B70" s="22"/>
      <c r="C70" s="22"/>
      <c r="D70" s="65" t="n">
        <f aca="true">IF(D51="","",SUMPRODUCT(D51*(1+IF(D52="",0,D52))^ROUNDDOWN((ROW(INDIRECT("1:"&amp;IF(D54="",10,D54)))-1)/IF(D53="",5,D53),0))+IF(OR(D13="",IF(D61="",IF($D$33="",0,$D$33),D61)=0),0,SUMPRODUCT(((D13*1.02^(ROW(INDIRECT("1:"&amp;IF(D54="",10,D54)))-1))-(IF(D62&lt;&gt;"",D62,IF($D$35&lt;&gt;"",$D$35,(D51*(1+IF(D52="",0,D52))^ROUNDDOWN((ROW(INDIRECT("1:"&amp;IF(D54="",10,D54)))-1)/IF(D53="",5,D53),0))/IF(D61="",IF($D$33="",0,$D$33),D61))))&gt;0)*((D13*1.02^(ROW(INDIRECT("1:"&amp;IF(D54="",10,D54)))-1))-(IF(D62&lt;&gt;"",D62,IF($D$35&lt;&gt;"",$D$35,(D51*(1+IF(D52="",0,D52))^ROUNDDOWN((ROW(INDIRECT("1:"&amp;IF(D54="",10,D54)))-1)/IF(D53="",5,D53),0))/IF(D61="",IF($D$33="",0,$D$33),D61))))))*IF(D61="",IF($D$33="",0,$D$33),D61)))</f>
        <v>2659817.89868</v>
      </c>
      <c r="E70" s="65" t="str">
        <f aca="true">IF(E51="","",SUMPRODUCT(E51*(1+IF(E52="",0,E52))^ROUNDDOWN((ROW(INDIRECT("1:"&amp;IF(E54="",10,E54)))-1)/IF(E53="",5,E53),0))+IF(OR(D13="",IF(E61="",IF($D$33="",0,$D$33),E61)=0),0,SUMPRODUCT(((D13*1.02^(ROW(INDIRECT("1:"&amp;IF(E54="",10,E54)))-1))-(IF(E62&lt;&gt;"",E62,IF($D$35&lt;&gt;"",$D$35,(E51*(1+IF(E52="",0,E52))^ROUNDDOWN((ROW(INDIRECT("1:"&amp;IF(E54="",10,E54)))-1)/IF(E53="",5,E53),0))/IF(E61="",IF($D$33="",0,$D$33),E61))))&gt;0)*((D13*1.02^(ROW(INDIRECT("1:"&amp;IF(E54="",10,E54)))-1))-(IF(E62&lt;&gt;"",E62,IF($D$35&lt;&gt;"",$D$35,(E51*(1+IF(E52="",0,E52))^ROUNDDOWN((ROW(INDIRECT("1:"&amp;IF(E54="",10,E54)))-1)/IF(E53="",5,E53),0))/IF(E61="",IF($D$33="",0,$D$33),E61))))))*IF(E61="",IF($D$33="",0,$D$33),E61)))</f>
        <v/>
      </c>
      <c r="F70" s="65" t="str">
        <f aca="true">IF(F51="","",SUMPRODUCT(F51*(1+IF(F52="",0,F52))^ROUNDDOWN((ROW(INDIRECT("1:"&amp;IF(F54="",10,F54)))-1)/IF(F53="",5,F53),0))+IF(OR(D13="",IF(F61="",IF($D$33="",0,$D$33),F61)=0),0,SUMPRODUCT(((D13*1.02^(ROW(INDIRECT("1:"&amp;IF(F54="",10,F54)))-1))-(IF(F62&lt;&gt;"",F62,IF($D$35&lt;&gt;"",$D$35,(F51*(1+IF(F52="",0,F52))^ROUNDDOWN((ROW(INDIRECT("1:"&amp;IF(F54="",10,F54)))-1)/IF(F53="",5,F53),0))/IF(F61="",IF($D$33="",0,$D$33),F61))))&gt;0)*((D13*1.02^(ROW(INDIRECT("1:"&amp;IF(F54="",10,F54)))-1))-(IF(F62&lt;&gt;"",F62,IF($D$35&lt;&gt;"",$D$35,(F51*(1+IF(F52="",0,F52))^ROUNDDOWN((ROW(INDIRECT("1:"&amp;IF(F54="",10,F54)))-1)/IF(F53="",5,F53),0))/IF(F61="",IF($D$33="",0,$D$33),F61))))))*IF(F61="",IF($D$33="",0,$D$33),F61)))</f>
        <v/>
      </c>
      <c r="G70" s="65" t="str">
        <f aca="true">IF(G51="","",SUMPRODUCT(G51*(1+IF(G52="",0,G52))^ROUNDDOWN((ROW(INDIRECT("1:"&amp;IF(G54="",10,G54)))-1)/IF(G53="",5,G53),0))+IF(OR(D13="",IF(G61="",IF($D$33="",0,$D$33),G61)=0),0,SUMPRODUCT(((D13*1.02^(ROW(INDIRECT("1:"&amp;IF(G54="",10,G54)))-1))-(IF(G62&lt;&gt;"",G62,IF($D$35&lt;&gt;"",$D$35,(G51*(1+IF(G52="",0,G52))^ROUNDDOWN((ROW(INDIRECT("1:"&amp;IF(G54="",10,G54)))-1)/IF(G53="",5,G53),0))/IF(G61="",IF($D$33="",0,$D$33),G61))))&gt;0)*((D13*1.02^(ROW(INDIRECT("1:"&amp;IF(G54="",10,G54)))-1))-(IF(G62&lt;&gt;"",G62,IF($D$35&lt;&gt;"",$D$35,(G51*(1+IF(G52="",0,G52))^ROUNDDOWN((ROW(INDIRECT("1:"&amp;IF(G54="",10,G54)))-1)/IF(G53="",5,G53),0))/IF(G61="",IF($D$33="",0,$D$33),G61))))))*IF(G61="",IF($D$33="",0,$D$33),G61)))</f>
        <v/>
      </c>
      <c r="H70" s="65" t="str">
        <f aca="true">IF(H51="","",SUMPRODUCT(H51*(1+IF(H52="",0,H52))^ROUNDDOWN((ROW(INDIRECT("1:"&amp;IF(H54="",10,H54)))-1)/IF(H53="",5,H53),0))+IF(OR(D13="",IF(H61="",IF($D$33="",0,$D$33),H61)=0),0,SUMPRODUCT(((D13*1.02^(ROW(INDIRECT("1:"&amp;IF(H54="",10,H54)))-1))-(IF(H62&lt;&gt;"",H62,IF($D$35&lt;&gt;"",$D$35,(H51*(1+IF(H52="",0,H52))^ROUNDDOWN((ROW(INDIRECT("1:"&amp;IF(H54="",10,H54)))-1)/IF(H53="",5,H53),0))/IF(H61="",IF($D$33="",0,$D$33),H61))))&gt;0)*((D13*1.02^(ROW(INDIRECT("1:"&amp;IF(H54="",10,H54)))-1))-(IF(H62&lt;&gt;"",H62,IF($D$35&lt;&gt;"",$D$35,(H51*(1+IF(H52="",0,H52))^ROUNDDOWN((ROW(INDIRECT("1:"&amp;IF(H54="",10,H54)))-1)/IF(H53="",5,H53),0))/IF(H61="",IF($D$33="",0,$D$33),H61))))))*IF(H61="",IF($D$33="",0,$D$33),H61)))</f>
        <v/>
      </c>
    </row>
    <row r="71" customFormat="false" ht="15" hidden="false" customHeight="true" outlineLevel="0" collapsed="false">
      <c r="A71" s="22" t="s">
        <v>374</v>
      </c>
      <c r="B71" s="22"/>
      <c r="C71" s="22"/>
      <c r="D71" s="62" t="n">
        <f aca="false">IF(D51="","",IF(D52="",0,(1+D52)^(5/IF(D53="",5,D53))-1))</f>
        <v>0.02</v>
      </c>
      <c r="E71" s="62" t="str">
        <f aca="false">IF(E51="","",IF(E52="",0,(1+E52)^(5/IF(E53="",5,E53))-1))</f>
        <v/>
      </c>
      <c r="F71" s="62" t="str">
        <f aca="false">IF(F51="","",IF(F52="",0,(1+F52)^(5/IF(F53="",5,F53))-1))</f>
        <v/>
      </c>
      <c r="G71" s="62" t="str">
        <f aca="false">IF(G51="","",IF(G52="",0,(1+G52)^(5/IF(G53="",5,G53))-1))</f>
        <v/>
      </c>
      <c r="H71" s="62" t="str">
        <f aca="false">IF(H51="","",IF(H52="",0,(1+H52)^(5/IF(H53="",5,H53))-1))</f>
        <v/>
      </c>
    </row>
    <row r="72" customFormat="false" ht="43.25" hidden="false" customHeight="true" outlineLevel="0" collapsed="false">
      <c r="A72" s="22" t="s">
        <v>375</v>
      </c>
      <c r="B72" s="22"/>
      <c r="C72" s="22"/>
      <c r="D72" s="66" t="str">
        <f aca="false">IF(D71="","",IF(D71&lt;=0,"REDUCTION / FLAT — ladder steps 1-2 (best)",IF(D71&lt;=0.08,"OK — within 8%/5-yr in-house authority (ladder step 3)","ABOVE 8%/5-yr — CEO SIGN-OFF REQUIRED (Rob 8/5/26)")))</f>
        <v>OK — within 8%/5-yr in-house authority (ladder step 3)</v>
      </c>
      <c r="E72" s="66" t="str">
        <f aca="false">IF(E71="","",IF(E71&lt;=0,"REDUCTION / FLAT — ladder steps 1-2 (best)",IF(E71&lt;=0.08,"OK — within 8%/5-yr in-house authority (ladder step 3)","ABOVE 8%/5-yr — CEO SIGN-OFF REQUIRED (Rob 8/5/26)")))</f>
        <v/>
      </c>
      <c r="F72" s="66" t="str">
        <f aca="false">IF(F71="","",IF(F71&lt;=0,"REDUCTION / FLAT — ladder steps 1-2 (best)",IF(F71&lt;=0.08,"OK — within 8%/5-yr in-house authority (ladder step 3)","ABOVE 8%/5-yr — CEO SIGN-OFF REQUIRED (Rob 8/5/26)")))</f>
        <v/>
      </c>
      <c r="G72" s="66" t="str">
        <f aca="false">IF(G71="","",IF(G71&lt;=0,"REDUCTION / FLAT — ladder steps 1-2 (best)",IF(G71&lt;=0.08,"OK — within 8%/5-yr in-house authority (ladder step 3)","ABOVE 8%/5-yr — CEO SIGN-OFF REQUIRED (Rob 8/5/26)")))</f>
        <v/>
      </c>
      <c r="H72" s="66" t="str">
        <f aca="false">IF(H71="","",IF(H71&lt;=0,"REDUCTION / FLAT — ladder steps 1-2 (best)",IF(H71&lt;=0.08,"OK — within 8%/5-yr in-house authority (ladder step 3)","ABOVE 8%/5-yr — CEO SIGN-OFF REQUIRED (Rob 8/5/26)")))</f>
        <v/>
      </c>
    </row>
    <row r="73" customFormat="false" ht="23.85" hidden="false" customHeight="true" outlineLevel="0" collapsed="false">
      <c r="A73" s="22" t="s">
        <v>376</v>
      </c>
      <c r="B73" s="22"/>
      <c r="C73" s="22"/>
      <c r="D73" s="62" t="n">
        <f aca="false">IF(OR(D51="",D13=""),"",((D51*(1+IF(D52="",0,D52))^ROUNDDOWN(9/IF(D53="",5,D53),0))+IF(IF(D61="",IF($D$33="",0,$D$33),D61)=0,0,MAX(0,D13*1.02^9-IF(D62&lt;&gt;"",D62,IF($D$35&lt;&gt;"",$D$35,(D51*(1+IF(D52="",0,D52))^ROUNDDOWN(9/IF(D53="",5,D53),0))/IF(D61="",IF($D$33="",0,$D$33),D61))))*IF(D61="",IF($D$33="",0,$D$33),D61)))/(D13*1.02^9))</f>
        <v>0.0846237279707353</v>
      </c>
      <c r="E73" s="62" t="str">
        <f aca="false">IF(OR(E51="",D13=""),"",((E51*(1+IF(E52="",0,E52))^ROUNDDOWN(9/IF(E53="",5,E53),0))+IF(IF(E61="",IF($D$33="",0,$D$33),E61)=0,0,MAX(0,D13*1.02^9-IF(E62&lt;&gt;"",E62,IF($D$35&lt;&gt;"",$D$35,(E51*(1+IF(E52="",0,E52))^ROUNDDOWN(9/IF(E53="",5,E53),0))/IF(E61="",IF($D$33="",0,$D$33),E61))))*IF(E61="",IF($D$33="",0,$D$33),E61)))/(D13*1.02^9))</f>
        <v/>
      </c>
      <c r="F73" s="62" t="str">
        <f aca="false">IF(OR(F51="",D13=""),"",((F51*(1+IF(F52="",0,F52))^ROUNDDOWN(9/IF(F53="",5,F53),0))+IF(IF(F61="",IF($D$33="",0,$D$33),F61)=0,0,MAX(0,D13*1.02^9-IF(F62&lt;&gt;"",F62,IF($D$35&lt;&gt;"",$D$35,(F51*(1+IF(F52="",0,F52))^ROUNDDOWN(9/IF(F53="",5,F53),0))/IF(F61="",IF($D$33="",0,$D$33),F61))))*IF(F61="",IF($D$33="",0,$D$33),F61)))/(D13*1.02^9))</f>
        <v/>
      </c>
      <c r="G73" s="62" t="str">
        <f aca="false">IF(OR(G51="",D13=""),"",((G51*(1+IF(G52="",0,G52))^ROUNDDOWN(9/IF(G53="",5,G53),0))+IF(IF(G61="",IF($D$33="",0,$D$33),G61)=0,0,MAX(0,D13*1.02^9-IF(G62&lt;&gt;"",G62,IF($D$35&lt;&gt;"",$D$35,(G51*(1+IF(G52="",0,G52))^ROUNDDOWN(9/IF(G53="",5,G53),0))/IF(G61="",IF($D$33="",0,$D$33),G61))))*IF(G61="",IF($D$33="",0,$D$33),G61)))/(D13*1.02^9))</f>
        <v/>
      </c>
      <c r="H73" s="62" t="str">
        <f aca="false">IF(OR(H51="",D13=""),"",((H51*(1+IF(H52="",0,H52))^ROUNDDOWN(9/IF(H53="",5,H53),0))+IF(IF(H61="",IF($D$33="",0,$D$33),H61)=0,0,MAX(0,D13*1.02^9-IF(H62&lt;&gt;"",H62,IF($D$35&lt;&gt;"",$D$35,(H51*(1+IF(H52="",0,H52))^ROUNDDOWN(9/IF(H53="",5,H53),0))/IF(H61="",IF($D$33="",0,$D$33),H61))))*IF(H61="",IF($D$33="",0,$D$33),H61)))/(D13*1.02^9))</f>
        <v/>
      </c>
    </row>
    <row r="74" customFormat="false" ht="74.6" hidden="false" customHeight="true" outlineLevel="0" collapsed="false">
      <c r="A74" s="22" t="s">
        <v>377</v>
      </c>
      <c r="B74" s="22"/>
      <c r="C74" s="22"/>
      <c r="D74" s="66" t="str">
        <f aca="false">IF(OR(D73="",D66=""),"",IF(MAX(D66,D73)&gt;=0.08,"HARD STOP — occupancy at/above 8% of sales: STOP, CEO sign-off before responding",IF(MAX(D66,D73)&gt;0.07,"Above Kim 7% alert — approaching 8% hard stop","OK — under 7% alert")))</f>
        <v>HARD STOP — occupancy at/above 8% of sales: STOP, CEO sign-off before responding</v>
      </c>
      <c r="E74" s="66" t="str">
        <f aca="false">IF(OR(E73="",E66=""),"",IF(MAX(E66,E73)&gt;=0.08,"HARD STOP — occupancy at/above 8% of sales: STOP, CEO sign-off before responding",IF(MAX(E66,E73)&gt;0.07,"Above Kim 7% alert — approaching 8% hard stop","OK — under 7% alert")))</f>
        <v/>
      </c>
      <c r="F74" s="66" t="str">
        <f aca="false">IF(OR(F73="",F66=""),"",IF(MAX(F66,F73)&gt;=0.08,"HARD STOP — occupancy at/above 8% of sales: STOP, CEO sign-off before responding",IF(MAX(F66,F73)&gt;0.07,"Above Kim 7% alert — approaching 8% hard stop","OK — under 7% alert")))</f>
        <v/>
      </c>
      <c r="G74" s="66" t="str">
        <f aca="false">IF(OR(G73="",G66=""),"",IF(MAX(G66,G73)&gt;=0.08,"HARD STOP — occupancy at/above 8% of sales: STOP, CEO sign-off before responding",IF(MAX(G66,G73)&gt;0.07,"Above Kim 7% alert — approaching 8% hard stop","OK — under 7% alert")))</f>
        <v/>
      </c>
      <c r="H74" s="66" t="str">
        <f aca="false">IF(OR(H73="",H66=""),"",IF(MAX(H66,H73)&gt;=0.08,"HARD STOP — occupancy at/above 8% of sales: STOP, CEO sign-off before responding",IF(MAX(H66,H73)&gt;0.07,"Above Kim 7% alert — approaching 8% hard stop","OK — under 7% alert")))</f>
        <v/>
      </c>
    </row>
    <row r="76" customFormat="false" ht="22.35" hidden="false" customHeight="true" outlineLevel="0" collapsed="false">
      <c r="A76" s="68" t="s">
        <v>379</v>
      </c>
      <c r="B76" s="68"/>
      <c r="C76" s="68"/>
      <c r="D76" s="68"/>
      <c r="E76" s="68"/>
      <c r="F76" s="68"/>
      <c r="G76" s="68"/>
      <c r="H76" s="68"/>
      <c r="I76" s="68"/>
      <c r="J76" s="68"/>
    </row>
    <row r="78" customFormat="false" ht="15" hidden="false" customHeight="false" outlineLevel="0" collapsed="false">
      <c r="A78" s="69" t="s">
        <v>380</v>
      </c>
      <c r="B78" s="69"/>
      <c r="C78" s="69"/>
      <c r="D78" s="69"/>
      <c r="E78" s="69"/>
      <c r="F78" s="69"/>
      <c r="G78" s="69"/>
      <c r="H78" s="69"/>
      <c r="I78" s="69"/>
      <c r="J78" s="69"/>
    </row>
    <row r="81" customFormat="false" ht="15" hidden="false" customHeight="false" outlineLevel="0" collapsed="false">
      <c r="A81" s="25" t="s">
        <v>381</v>
      </c>
    </row>
    <row r="82" customFormat="false" ht="15" hidden="false" customHeight="false" outlineLevel="0" collapsed="false">
      <c r="A82" s="69" t="s">
        <v>382</v>
      </c>
      <c r="B82" s="69"/>
      <c r="C82" s="69"/>
      <c r="D82" s="69"/>
      <c r="E82" s="69"/>
      <c r="F82" s="69"/>
      <c r="G82" s="69"/>
      <c r="H82" s="69"/>
      <c r="I82" s="69"/>
      <c r="J82" s="69"/>
      <c r="K82" s="69"/>
      <c r="L82" s="69"/>
      <c r="M82" s="69"/>
      <c r="N82" s="69"/>
      <c r="O82" s="69"/>
      <c r="P82" s="69"/>
      <c r="Q82" s="69"/>
      <c r="R82" s="69"/>
      <c r="S82" s="69"/>
      <c r="T82" s="69"/>
    </row>
    <row r="83" customFormat="false" ht="15" hidden="false" customHeight="true" outlineLevel="0" collapsed="false">
      <c r="A83" s="70" t="s">
        <v>383</v>
      </c>
      <c r="B83" s="70" t="s">
        <v>384</v>
      </c>
      <c r="C83" s="71" t="s">
        <v>385</v>
      </c>
      <c r="D83" s="71"/>
      <c r="E83" s="71"/>
      <c r="F83" s="71" t="s">
        <v>386</v>
      </c>
      <c r="G83" s="71"/>
      <c r="H83" s="71"/>
      <c r="I83" s="71" t="s">
        <v>387</v>
      </c>
      <c r="J83" s="71"/>
      <c r="K83" s="71"/>
      <c r="L83" s="71" t="s">
        <v>388</v>
      </c>
      <c r="M83" s="71"/>
      <c r="N83" s="71"/>
      <c r="O83" s="71" t="s">
        <v>389</v>
      </c>
      <c r="P83" s="71"/>
      <c r="Q83" s="71"/>
      <c r="R83" s="72" t="s">
        <v>390</v>
      </c>
      <c r="S83" s="72"/>
      <c r="T83" s="72"/>
    </row>
    <row r="84" customFormat="false" ht="15" hidden="false" customHeight="false" outlineLevel="0" collapsed="false">
      <c r="A84" s="73"/>
      <c r="B84" s="73"/>
      <c r="C84" s="73" t="s">
        <v>391</v>
      </c>
      <c r="D84" s="73" t="s">
        <v>392</v>
      </c>
      <c r="E84" s="73" t="s">
        <v>393</v>
      </c>
      <c r="F84" s="73" t="s">
        <v>391</v>
      </c>
      <c r="G84" s="73" t="s">
        <v>392</v>
      </c>
      <c r="H84" s="73" t="s">
        <v>393</v>
      </c>
      <c r="I84" s="73" t="s">
        <v>391</v>
      </c>
      <c r="J84" s="73" t="s">
        <v>392</v>
      </c>
      <c r="K84" s="73" t="s">
        <v>393</v>
      </c>
      <c r="L84" s="73" t="s">
        <v>391</v>
      </c>
      <c r="M84" s="73" t="s">
        <v>392</v>
      </c>
      <c r="N84" s="73" t="s">
        <v>393</v>
      </c>
      <c r="O84" s="73" t="s">
        <v>391</v>
      </c>
      <c r="P84" s="73" t="s">
        <v>392</v>
      </c>
      <c r="Q84" s="73" t="s">
        <v>393</v>
      </c>
      <c r="R84" s="73" t="s">
        <v>391</v>
      </c>
      <c r="S84" s="73" t="s">
        <v>392</v>
      </c>
      <c r="T84" s="73" t="s">
        <v>393</v>
      </c>
    </row>
    <row r="85" customFormat="false" ht="15" hidden="false" customHeight="false" outlineLevel="0" collapsed="false">
      <c r="A85" s="74" t="n">
        <v>1</v>
      </c>
      <c r="B85" s="75" t="n">
        <v>1301732</v>
      </c>
      <c r="C85" s="76" t="n">
        <v>129067</v>
      </c>
      <c r="D85" s="76" t="n">
        <v>0</v>
      </c>
      <c r="E85" s="76" t="n">
        <v>129067</v>
      </c>
      <c r="F85" s="75" t="n">
        <f aca="false">IF(D51="","",IF(1&gt;IF(D54="",10,D54),"",D51*(1+IF(D52="",0,D52))^ROUNDDOWN((1-1)/IF(D53="",5,D53),0)))</f>
        <v>129067</v>
      </c>
      <c r="G85" s="75" t="n">
        <f aca="false">IF(F85="","",IF((IF(D61="",IF($D$33="",0,$D$33),D61))=0,0,MAX(0,1301732.32-(IF(D62&lt;&gt;"",D62,IF($D$35&lt;&gt;"",$D$35,IF((IF(D61="",IF($D$33="",0,$D$33),D61))=0,0,D51/(IF(D61="",IF($D$33="",0,$D$33),D61)))))))*(IF(D61="",IF($D$33="",0,$D$33),D61))))</f>
        <v>0</v>
      </c>
      <c r="H85" s="75" t="n">
        <f aca="false">IF(F85="","",F85+G85)</f>
        <v>129067</v>
      </c>
      <c r="I85" s="75" t="str">
        <f aca="false">IF(E51="","",IF(1&gt;IF(E54="",10,E54),"",E51*(1+IF(E52="",0,E52))^ROUNDDOWN((1-1)/IF(E53="",5,E53),0)))</f>
        <v/>
      </c>
      <c r="J85" s="75" t="str">
        <f aca="false">IF(I85="","",IF((IF(E61="",IF($D$33="",0,$D$33),E61))=0,0,MAX(0,1301732.32-(IF(E62&lt;&gt;"",E62,IF($D$35&lt;&gt;"",$D$35,IF((IF(E61="",IF($D$33="",0,$D$33),E61))=0,0,E51/(IF(E61="",IF($D$33="",0,$D$33),E61)))))))*(IF(E61="",IF($D$33="",0,$D$33),E61))))</f>
        <v/>
      </c>
      <c r="K85" s="75" t="str">
        <f aca="false">IF(I85="","",I85+J85)</f>
        <v/>
      </c>
      <c r="L85" s="75" t="str">
        <f aca="false">IF(F51="","",IF(1&gt;IF(F54="",10,F54),"",F51*(1+IF(F52="",0,F52))^ROUNDDOWN((1-1)/IF(F53="",5,F53),0)))</f>
        <v/>
      </c>
      <c r="M85" s="75" t="str">
        <f aca="false">IF(L85="","",IF((IF(F61="",IF($D$33="",0,$D$33),F61))=0,0,MAX(0,1301732.32-(IF(F62&lt;&gt;"",F62,IF($D$35&lt;&gt;"",$D$35,IF((IF(F61="",IF($D$33="",0,$D$33),F61))=0,0,F51/(IF(F61="",IF($D$33="",0,$D$33),F61)))))))*(IF(F61="",IF($D$33="",0,$D$33),F61))))</f>
        <v/>
      </c>
      <c r="N85" s="75" t="str">
        <f aca="false">IF(L85="","",L85+M85)</f>
        <v/>
      </c>
      <c r="O85" s="75" t="str">
        <f aca="false">IF(G51="","",IF(1&gt;IF(G54="",10,G54),"",G51*(1+IF(G52="",0,G52))^ROUNDDOWN((1-1)/IF(G53="",5,G53),0)))</f>
        <v/>
      </c>
      <c r="P85" s="75" t="str">
        <f aca="false">IF(O85="","",IF((IF(G61="",IF($D$33="",0,$D$33),G61))=0,0,MAX(0,1301732.32-(IF(G62&lt;&gt;"",G62,IF($D$35&lt;&gt;"",$D$35,IF((IF(G61="",IF($D$33="",0,$D$33),G61))=0,0,G51/(IF(G61="",IF($D$33="",0,$D$33),G61)))))))*(IF(G61="",IF($D$33="",0,$D$33),G61))))</f>
        <v/>
      </c>
      <c r="Q85" s="75" t="str">
        <f aca="false">IF(O85="","",O85+P85)</f>
        <v/>
      </c>
      <c r="R85" s="75" t="str">
        <f aca="false">IF(H51="","",IF(1&gt;IF(H54="",10,H54),"",H51*(1+IF(H52="",0,H52))^ROUNDDOWN((1-1)/IF(H53="",5,H53),0)))</f>
        <v/>
      </c>
      <c r="S85" s="75" t="str">
        <f aca="false">IF(R85="","",IF((IF(H61="",IF($D$33="",0,$D$33),H61))=0,0,MAX(0,1301732.32-(IF(H62&lt;&gt;"",H62,IF($D$35&lt;&gt;"",$D$35,IF((IF(H61="",IF($D$33="",0,$D$33),H61))=0,0,H51/(IF(H61="",IF($D$33="",0,$D$33),H61)))))))*(IF(H61="",IF($D$33="",0,$D$33),H61))))</f>
        <v/>
      </c>
      <c r="T85" s="75" t="str">
        <f aca="false">IF(R85="","",R85+S85)</f>
        <v/>
      </c>
    </row>
    <row r="86" customFormat="false" ht="15" hidden="false" customHeight="false" outlineLevel="0" collapsed="false">
      <c r="A86" s="74" t="n">
        <v>2</v>
      </c>
      <c r="B86" s="75" t="n">
        <v>1327767</v>
      </c>
      <c r="C86" s="76" t="n">
        <v>129067</v>
      </c>
      <c r="D86" s="76" t="n">
        <v>0</v>
      </c>
      <c r="E86" s="76" t="n">
        <v>129067</v>
      </c>
      <c r="F86" s="75" t="n">
        <f aca="false">IF(D51="","",IF(2&gt;IF(D54="",10,D54),"",D51*(1+IF(D52="",0,D52))^ROUNDDOWN((2-1)/IF(D53="",5,D53),0)))</f>
        <v>129067</v>
      </c>
      <c r="G86" s="75" t="n">
        <f aca="false">IF(F86="","",IF((IF(D61="",IF($D$33="",0,$D$33),D61))=0,0,MAX(0,1327766.97-(IF(D62&lt;&gt;"",D62,IF($D$35&lt;&gt;"",$D$35,IF((IF(D61="",IF($D$33="",0,$D$33),D61))=0,0,D51/(IF(D61="",IF($D$33="",0,$D$33),D61)))))))*(IF(D61="",IF($D$33="",0,$D$33),D61))))</f>
        <v>0</v>
      </c>
      <c r="H86" s="75" t="n">
        <f aca="false">IF(F86="","",F86+G86)</f>
        <v>129067</v>
      </c>
      <c r="I86" s="75" t="str">
        <f aca="false">IF(E51="","",IF(2&gt;IF(E54="",10,E54),"",E51*(1+IF(E52="",0,E52))^ROUNDDOWN((2-1)/IF(E53="",5,E53),0)))</f>
        <v/>
      </c>
      <c r="J86" s="75" t="str">
        <f aca="false">IF(I86="","",IF((IF(E61="",IF($D$33="",0,$D$33),E61))=0,0,MAX(0,1327766.97-(IF(E62&lt;&gt;"",E62,IF($D$35&lt;&gt;"",$D$35,IF((IF(E61="",IF($D$33="",0,$D$33),E61))=0,0,E51/(IF(E61="",IF($D$33="",0,$D$33),E61)))))))*(IF(E61="",IF($D$33="",0,$D$33),E61))))</f>
        <v/>
      </c>
      <c r="K86" s="75" t="str">
        <f aca="false">IF(I86="","",I86+J86)</f>
        <v/>
      </c>
      <c r="L86" s="75" t="str">
        <f aca="false">IF(F51="","",IF(2&gt;IF(F54="",10,F54),"",F51*(1+IF(F52="",0,F52))^ROUNDDOWN((2-1)/IF(F53="",5,F53),0)))</f>
        <v/>
      </c>
      <c r="M86" s="75" t="str">
        <f aca="false">IF(L86="","",IF((IF(F61="",IF($D$33="",0,$D$33),F61))=0,0,MAX(0,1327766.97-(IF(F62&lt;&gt;"",F62,IF($D$35&lt;&gt;"",$D$35,IF((IF(F61="",IF($D$33="",0,$D$33),F61))=0,0,F51/(IF(F61="",IF($D$33="",0,$D$33),F61)))))))*(IF(F61="",IF($D$33="",0,$D$33),F61))))</f>
        <v/>
      </c>
      <c r="N86" s="75" t="str">
        <f aca="false">IF(L86="","",L86+M86)</f>
        <v/>
      </c>
      <c r="O86" s="75" t="str">
        <f aca="false">IF(G51="","",IF(2&gt;IF(G54="",10,G54),"",G51*(1+IF(G52="",0,G52))^ROUNDDOWN((2-1)/IF(G53="",5,G53),0)))</f>
        <v/>
      </c>
      <c r="P86" s="75" t="str">
        <f aca="false">IF(O86="","",IF((IF(G61="",IF($D$33="",0,$D$33),G61))=0,0,MAX(0,1327766.97-(IF(G62&lt;&gt;"",G62,IF($D$35&lt;&gt;"",$D$35,IF((IF(G61="",IF($D$33="",0,$D$33),G61))=0,0,G51/(IF(G61="",IF($D$33="",0,$D$33),G61)))))))*(IF(G61="",IF($D$33="",0,$D$33),G61))))</f>
        <v/>
      </c>
      <c r="Q86" s="75" t="str">
        <f aca="false">IF(O86="","",O86+P86)</f>
        <v/>
      </c>
      <c r="R86" s="75" t="str">
        <f aca="false">IF(H51="","",IF(2&gt;IF(H54="",10,H54),"",H51*(1+IF(H52="",0,H52))^ROUNDDOWN((2-1)/IF(H53="",5,H53),0)))</f>
        <v/>
      </c>
      <c r="S86" s="75" t="str">
        <f aca="false">IF(R86="","",IF((IF(H61="",IF($D$33="",0,$D$33),H61))=0,0,MAX(0,1327766.97-(IF(H62&lt;&gt;"",H62,IF($D$35&lt;&gt;"",$D$35,IF((IF(H61="",IF($D$33="",0,$D$33),H61))=0,0,H51/(IF(H61="",IF($D$33="",0,$D$33),H61)))))))*(IF(H61="",IF($D$33="",0,$D$33),H61))))</f>
        <v/>
      </c>
      <c r="T86" s="75" t="str">
        <f aca="false">IF(R86="","",R86+S86)</f>
        <v/>
      </c>
    </row>
    <row r="87" customFormat="false" ht="15" hidden="false" customHeight="false" outlineLevel="0" collapsed="false">
      <c r="A87" s="74" t="n">
        <v>3</v>
      </c>
      <c r="B87" s="75" t="n">
        <v>1354322</v>
      </c>
      <c r="C87" s="76" t="n">
        <v>129067</v>
      </c>
      <c r="D87" s="76" t="n">
        <v>0</v>
      </c>
      <c r="E87" s="76" t="n">
        <v>129067</v>
      </c>
      <c r="F87" s="75" t="n">
        <f aca="false">IF(D51="","",IF(3&gt;IF(D54="",10,D54),"",D51*(1+IF(D52="",0,D52))^ROUNDDOWN((3-1)/IF(D53="",5,D53),0)))</f>
        <v>129067</v>
      </c>
      <c r="G87" s="75" t="n">
        <f aca="false">IF(F87="","",IF((IF(D61="",IF($D$33="",0,$D$33),D61))=0,0,MAX(0,1354322.31-(IF(D62&lt;&gt;"",D62,IF($D$35&lt;&gt;"",$D$35,IF((IF(D61="",IF($D$33="",0,$D$33),D61))=0,0,D51/(IF(D61="",IF($D$33="",0,$D$33),D61)))))))*(IF(D61="",IF($D$33="",0,$D$33),D61))))</f>
        <v>0</v>
      </c>
      <c r="H87" s="75" t="n">
        <f aca="false">IF(F87="","",F87+G87)</f>
        <v>129067</v>
      </c>
      <c r="I87" s="75" t="str">
        <f aca="false">IF(E51="","",IF(3&gt;IF(E54="",10,E54),"",E51*(1+IF(E52="",0,E52))^ROUNDDOWN((3-1)/IF(E53="",5,E53),0)))</f>
        <v/>
      </c>
      <c r="J87" s="75" t="str">
        <f aca="false">IF(I87="","",IF((IF(E61="",IF($D$33="",0,$D$33),E61))=0,0,MAX(0,1354322.31-(IF(E62&lt;&gt;"",E62,IF($D$35&lt;&gt;"",$D$35,IF((IF(E61="",IF($D$33="",0,$D$33),E61))=0,0,E51/(IF(E61="",IF($D$33="",0,$D$33),E61)))))))*(IF(E61="",IF($D$33="",0,$D$33),E61))))</f>
        <v/>
      </c>
      <c r="K87" s="75" t="str">
        <f aca="false">IF(I87="","",I87+J87)</f>
        <v/>
      </c>
      <c r="L87" s="75" t="str">
        <f aca="false">IF(F51="","",IF(3&gt;IF(F54="",10,F54),"",F51*(1+IF(F52="",0,F52))^ROUNDDOWN((3-1)/IF(F53="",5,F53),0)))</f>
        <v/>
      </c>
      <c r="M87" s="75" t="str">
        <f aca="false">IF(L87="","",IF((IF(F61="",IF($D$33="",0,$D$33),F61))=0,0,MAX(0,1354322.31-(IF(F62&lt;&gt;"",F62,IF($D$35&lt;&gt;"",$D$35,IF((IF(F61="",IF($D$33="",0,$D$33),F61))=0,0,F51/(IF(F61="",IF($D$33="",0,$D$33),F61)))))))*(IF(F61="",IF($D$33="",0,$D$33),F61))))</f>
        <v/>
      </c>
      <c r="N87" s="75" t="str">
        <f aca="false">IF(L87="","",L87+M87)</f>
        <v/>
      </c>
      <c r="O87" s="75" t="str">
        <f aca="false">IF(G51="","",IF(3&gt;IF(G54="",10,G54),"",G51*(1+IF(G52="",0,G52))^ROUNDDOWN((3-1)/IF(G53="",5,G53),0)))</f>
        <v/>
      </c>
      <c r="P87" s="75" t="str">
        <f aca="false">IF(O87="","",IF((IF(G61="",IF($D$33="",0,$D$33),G61))=0,0,MAX(0,1354322.31-(IF(G62&lt;&gt;"",G62,IF($D$35&lt;&gt;"",$D$35,IF((IF(G61="",IF($D$33="",0,$D$33),G61))=0,0,G51/(IF(G61="",IF($D$33="",0,$D$33),G61)))))))*(IF(G61="",IF($D$33="",0,$D$33),G61))))</f>
        <v/>
      </c>
      <c r="Q87" s="75" t="str">
        <f aca="false">IF(O87="","",O87+P87)</f>
        <v/>
      </c>
      <c r="R87" s="75" t="str">
        <f aca="false">IF(H51="","",IF(3&gt;IF(H54="",10,H54),"",H51*(1+IF(H52="",0,H52))^ROUNDDOWN((3-1)/IF(H53="",5,H53),0)))</f>
        <v/>
      </c>
      <c r="S87" s="75" t="str">
        <f aca="false">IF(R87="","",IF((IF(H61="",IF($D$33="",0,$D$33),H61))=0,0,MAX(0,1354322.31-(IF(H62&lt;&gt;"",H62,IF($D$35&lt;&gt;"",$D$35,IF((IF(H61="",IF($D$33="",0,$D$33),H61))=0,0,H51/(IF(H61="",IF($D$33="",0,$D$33),H61)))))))*(IF(H61="",IF($D$33="",0,$D$33),H61))))</f>
        <v/>
      </c>
      <c r="T87" s="75" t="str">
        <f aca="false">IF(R87="","",R87+S87)</f>
        <v/>
      </c>
    </row>
    <row r="88" customFormat="false" ht="15" hidden="false" customHeight="false" outlineLevel="0" collapsed="false">
      <c r="A88" s="74" t="n">
        <v>4</v>
      </c>
      <c r="B88" s="75" t="n">
        <v>1381409</v>
      </c>
      <c r="C88" s="76" t="n">
        <v>129067</v>
      </c>
      <c r="D88" s="76" t="n">
        <v>0</v>
      </c>
      <c r="E88" s="76" t="n">
        <v>129067</v>
      </c>
      <c r="F88" s="75" t="n">
        <f aca="false">IF(D51="","",IF(4&gt;IF(D54="",10,D54),"",D51*(1+IF(D52="",0,D52))^ROUNDDOWN((4-1)/IF(D53="",5,D53),0)))</f>
        <v>129067</v>
      </c>
      <c r="G88" s="75" t="n">
        <f aca="false">IF(F88="","",IF((IF(D61="",IF($D$33="",0,$D$33),D61))=0,0,MAX(0,1381408.75-(IF(D62&lt;&gt;"",D62,IF($D$35&lt;&gt;"",$D$35,IF((IF(D61="",IF($D$33="",0,$D$33),D61))=0,0,D51/(IF(D61="",IF($D$33="",0,$D$33),D61)))))))*(IF(D61="",IF($D$33="",0,$D$33),D61))))</f>
        <v>0</v>
      </c>
      <c r="H88" s="75" t="n">
        <f aca="false">IF(F88="","",F88+G88)</f>
        <v>129067</v>
      </c>
      <c r="I88" s="75" t="str">
        <f aca="false">IF(E51="","",IF(4&gt;IF(E54="",10,E54),"",E51*(1+IF(E52="",0,E52))^ROUNDDOWN((4-1)/IF(E53="",5,E53),0)))</f>
        <v/>
      </c>
      <c r="J88" s="75" t="str">
        <f aca="false">IF(I88="","",IF((IF(E61="",IF($D$33="",0,$D$33),E61))=0,0,MAX(0,1381408.75-(IF(E62&lt;&gt;"",E62,IF($D$35&lt;&gt;"",$D$35,IF((IF(E61="",IF($D$33="",0,$D$33),E61))=0,0,E51/(IF(E61="",IF($D$33="",0,$D$33),E61)))))))*(IF(E61="",IF($D$33="",0,$D$33),E61))))</f>
        <v/>
      </c>
      <c r="K88" s="75" t="str">
        <f aca="false">IF(I88="","",I88+J88)</f>
        <v/>
      </c>
      <c r="L88" s="75" t="str">
        <f aca="false">IF(F51="","",IF(4&gt;IF(F54="",10,F54),"",F51*(1+IF(F52="",0,F52))^ROUNDDOWN((4-1)/IF(F53="",5,F53),0)))</f>
        <v/>
      </c>
      <c r="M88" s="75" t="str">
        <f aca="false">IF(L88="","",IF((IF(F61="",IF($D$33="",0,$D$33),F61))=0,0,MAX(0,1381408.75-(IF(F62&lt;&gt;"",F62,IF($D$35&lt;&gt;"",$D$35,IF((IF(F61="",IF($D$33="",0,$D$33),F61))=0,0,F51/(IF(F61="",IF($D$33="",0,$D$33),F61)))))))*(IF(F61="",IF($D$33="",0,$D$33),F61))))</f>
        <v/>
      </c>
      <c r="N88" s="75" t="str">
        <f aca="false">IF(L88="","",L88+M88)</f>
        <v/>
      </c>
      <c r="O88" s="75" t="str">
        <f aca="false">IF(G51="","",IF(4&gt;IF(G54="",10,G54),"",G51*(1+IF(G52="",0,G52))^ROUNDDOWN((4-1)/IF(G53="",5,G53),0)))</f>
        <v/>
      </c>
      <c r="P88" s="75" t="str">
        <f aca="false">IF(O88="","",IF((IF(G61="",IF($D$33="",0,$D$33),G61))=0,0,MAX(0,1381408.75-(IF(G62&lt;&gt;"",G62,IF($D$35&lt;&gt;"",$D$35,IF((IF(G61="",IF($D$33="",0,$D$33),G61))=0,0,G51/(IF(G61="",IF($D$33="",0,$D$33),G61)))))))*(IF(G61="",IF($D$33="",0,$D$33),G61))))</f>
        <v/>
      </c>
      <c r="Q88" s="75" t="str">
        <f aca="false">IF(O88="","",O88+P88)</f>
        <v/>
      </c>
      <c r="R88" s="75" t="str">
        <f aca="false">IF(H51="","",IF(4&gt;IF(H54="",10,H54),"",H51*(1+IF(H52="",0,H52))^ROUNDDOWN((4-1)/IF(H53="",5,H53),0)))</f>
        <v/>
      </c>
      <c r="S88" s="75" t="str">
        <f aca="false">IF(R88="","",IF((IF(H61="",IF($D$33="",0,$D$33),H61))=0,0,MAX(0,1381408.75-(IF(H62&lt;&gt;"",H62,IF($D$35&lt;&gt;"",$D$35,IF((IF(H61="",IF($D$33="",0,$D$33),H61))=0,0,H51/(IF(H61="",IF($D$33="",0,$D$33),H61)))))))*(IF(H61="",IF($D$33="",0,$D$33),H61))))</f>
        <v/>
      </c>
      <c r="T88" s="75" t="str">
        <f aca="false">IF(R88="","",R88+S88)</f>
        <v/>
      </c>
    </row>
    <row r="89" customFormat="false" ht="15" hidden="false" customHeight="false" outlineLevel="0" collapsed="false">
      <c r="A89" s="74" t="n">
        <v>5</v>
      </c>
      <c r="B89" s="75" t="n">
        <v>1409037</v>
      </c>
      <c r="C89" s="76" t="n">
        <v>129067</v>
      </c>
      <c r="D89" s="76" t="n">
        <v>0</v>
      </c>
      <c r="E89" s="76" t="n">
        <v>129067</v>
      </c>
      <c r="F89" s="75" t="n">
        <f aca="false">IF(D51="","",IF(5&gt;IF(D54="",10,D54),"",D51*(1+IF(D52="",0,D52))^ROUNDDOWN((5-1)/IF(D53="",5,D53),0)))</f>
        <v>129067</v>
      </c>
      <c r="G89" s="75" t="n">
        <f aca="false">IF(F89="","",IF((IF(D61="",IF($D$33="",0,$D$33),D61))=0,0,MAX(0,1409036.93-(IF(D62&lt;&gt;"",D62,IF($D$35&lt;&gt;"",$D$35,IF((IF(D61="",IF($D$33="",0,$D$33),D61))=0,0,D51/(IF(D61="",IF($D$33="",0,$D$33),D61)))))))*(IF(D61="",IF($D$33="",0,$D$33),D61))))</f>
        <v>0</v>
      </c>
      <c r="H89" s="75" t="n">
        <f aca="false">IF(F89="","",F89+G89)</f>
        <v>129067</v>
      </c>
      <c r="I89" s="75" t="str">
        <f aca="false">IF(E51="","",IF(5&gt;IF(E54="",10,E54),"",E51*(1+IF(E52="",0,E52))^ROUNDDOWN((5-1)/IF(E53="",5,E53),0)))</f>
        <v/>
      </c>
      <c r="J89" s="75" t="str">
        <f aca="false">IF(I89="","",IF((IF(E61="",IF($D$33="",0,$D$33),E61))=0,0,MAX(0,1409036.93-(IF(E62&lt;&gt;"",E62,IF($D$35&lt;&gt;"",$D$35,IF((IF(E61="",IF($D$33="",0,$D$33),E61))=0,0,E51/(IF(E61="",IF($D$33="",0,$D$33),E61)))))))*(IF(E61="",IF($D$33="",0,$D$33),E61))))</f>
        <v/>
      </c>
      <c r="K89" s="75" t="str">
        <f aca="false">IF(I89="","",I89+J89)</f>
        <v/>
      </c>
      <c r="L89" s="75" t="str">
        <f aca="false">IF(F51="","",IF(5&gt;IF(F54="",10,F54),"",F51*(1+IF(F52="",0,F52))^ROUNDDOWN((5-1)/IF(F53="",5,F53),0)))</f>
        <v/>
      </c>
      <c r="M89" s="75" t="str">
        <f aca="false">IF(L89="","",IF((IF(F61="",IF($D$33="",0,$D$33),F61))=0,0,MAX(0,1409036.93-(IF(F62&lt;&gt;"",F62,IF($D$35&lt;&gt;"",$D$35,IF((IF(F61="",IF($D$33="",0,$D$33),F61))=0,0,F51/(IF(F61="",IF($D$33="",0,$D$33),F61)))))))*(IF(F61="",IF($D$33="",0,$D$33),F61))))</f>
        <v/>
      </c>
      <c r="N89" s="75" t="str">
        <f aca="false">IF(L89="","",L89+M89)</f>
        <v/>
      </c>
      <c r="O89" s="75" t="str">
        <f aca="false">IF(G51="","",IF(5&gt;IF(G54="",10,G54),"",G51*(1+IF(G52="",0,G52))^ROUNDDOWN((5-1)/IF(G53="",5,G53),0)))</f>
        <v/>
      </c>
      <c r="P89" s="75" t="str">
        <f aca="false">IF(O89="","",IF((IF(G61="",IF($D$33="",0,$D$33),G61))=0,0,MAX(0,1409036.93-(IF(G62&lt;&gt;"",G62,IF($D$35&lt;&gt;"",$D$35,IF((IF(G61="",IF($D$33="",0,$D$33),G61))=0,0,G51/(IF(G61="",IF($D$33="",0,$D$33),G61)))))))*(IF(G61="",IF($D$33="",0,$D$33),G61))))</f>
        <v/>
      </c>
      <c r="Q89" s="75" t="str">
        <f aca="false">IF(O89="","",O89+P89)</f>
        <v/>
      </c>
      <c r="R89" s="75" t="str">
        <f aca="false">IF(H51="","",IF(5&gt;IF(H54="",10,H54),"",H51*(1+IF(H52="",0,H52))^ROUNDDOWN((5-1)/IF(H53="",5,H53),0)))</f>
        <v/>
      </c>
      <c r="S89" s="75" t="str">
        <f aca="false">IF(R89="","",IF((IF(H61="",IF($D$33="",0,$D$33),H61))=0,0,MAX(0,1409036.93-(IF(H62&lt;&gt;"",H62,IF($D$35&lt;&gt;"",$D$35,IF((IF(H61="",IF($D$33="",0,$D$33),H61))=0,0,H51/(IF(H61="",IF($D$33="",0,$D$33),H61)))))))*(IF(H61="",IF($D$33="",0,$D$33),H61))))</f>
        <v/>
      </c>
      <c r="T89" s="75" t="str">
        <f aca="false">IF(R89="","",R89+S89)</f>
        <v/>
      </c>
    </row>
    <row r="90" customFormat="false" ht="15" hidden="false" customHeight="false" outlineLevel="0" collapsed="false">
      <c r="A90" s="74" t="n">
        <v>6</v>
      </c>
      <c r="B90" s="75" t="n">
        <v>1437218</v>
      </c>
      <c r="C90" s="76" t="n">
        <v>129067</v>
      </c>
      <c r="D90" s="76" t="n">
        <v>0</v>
      </c>
      <c r="E90" s="76" t="n">
        <v>129067</v>
      </c>
      <c r="F90" s="75" t="n">
        <f aca="false">IF(D51="","",IF(6&gt;IF(D54="",10,D54),"",D51*(1+IF(D52="",0,D52))^ROUNDDOWN((6-1)/IF(D53="",5,D53),0)))</f>
        <v>131648.34</v>
      </c>
      <c r="G90" s="75" t="n">
        <f aca="false">IF(F90="","",IF((IF(D61="",IF($D$33="",0,$D$33),D61))=0,0,MAX(0,1437217.67-(IF(D62&lt;&gt;"",D62,IF($D$35&lt;&gt;"",$D$35,IF((IF(D61="",IF($D$33="",0,$D$33),D61))=0,0,D51/(IF(D61="",IF($D$33="",0,$D$33),D61)))))))*(IF(D61="",IF($D$33="",0,$D$33),D61))))</f>
        <v>0</v>
      </c>
      <c r="H90" s="75" t="n">
        <f aca="false">IF(F90="","",F90+G90)</f>
        <v>131648.34</v>
      </c>
      <c r="I90" s="75" t="str">
        <f aca="false">IF(E51="","",IF(6&gt;IF(E54="",10,E54),"",E51*(1+IF(E52="",0,E52))^ROUNDDOWN((6-1)/IF(E53="",5,E53),0)))</f>
        <v/>
      </c>
      <c r="J90" s="75" t="str">
        <f aca="false">IF(I90="","",IF((IF(E61="",IF($D$33="",0,$D$33),E61))=0,0,MAX(0,1437217.67-(IF(E62&lt;&gt;"",E62,IF($D$35&lt;&gt;"",$D$35,IF((IF(E61="",IF($D$33="",0,$D$33),E61))=0,0,E51/(IF(E61="",IF($D$33="",0,$D$33),E61)))))))*(IF(E61="",IF($D$33="",0,$D$33),E61))))</f>
        <v/>
      </c>
      <c r="K90" s="75" t="str">
        <f aca="false">IF(I90="","",I90+J90)</f>
        <v/>
      </c>
      <c r="L90" s="75" t="str">
        <f aca="false">IF(F51="","",IF(6&gt;IF(F54="",10,F54),"",F51*(1+IF(F52="",0,F52))^ROUNDDOWN((6-1)/IF(F53="",5,F53),0)))</f>
        <v/>
      </c>
      <c r="M90" s="75" t="str">
        <f aca="false">IF(L90="","",IF((IF(F61="",IF($D$33="",0,$D$33),F61))=0,0,MAX(0,1437217.67-(IF(F62&lt;&gt;"",F62,IF($D$35&lt;&gt;"",$D$35,IF((IF(F61="",IF($D$33="",0,$D$33),F61))=0,0,F51/(IF(F61="",IF($D$33="",0,$D$33),F61)))))))*(IF(F61="",IF($D$33="",0,$D$33),F61))))</f>
        <v/>
      </c>
      <c r="N90" s="75" t="str">
        <f aca="false">IF(L90="","",L90+M90)</f>
        <v/>
      </c>
      <c r="O90" s="75" t="str">
        <f aca="false">IF(G51="","",IF(6&gt;IF(G54="",10,G54),"",G51*(1+IF(G52="",0,G52))^ROUNDDOWN((6-1)/IF(G53="",5,G53),0)))</f>
        <v/>
      </c>
      <c r="P90" s="75" t="str">
        <f aca="false">IF(O90="","",IF((IF(G61="",IF($D$33="",0,$D$33),G61))=0,0,MAX(0,1437217.67-(IF(G62&lt;&gt;"",G62,IF($D$35&lt;&gt;"",$D$35,IF((IF(G61="",IF($D$33="",0,$D$33),G61))=0,0,G51/(IF(G61="",IF($D$33="",0,$D$33),G61)))))))*(IF(G61="",IF($D$33="",0,$D$33),G61))))</f>
        <v/>
      </c>
      <c r="Q90" s="75" t="str">
        <f aca="false">IF(O90="","",O90+P90)</f>
        <v/>
      </c>
      <c r="R90" s="75" t="str">
        <f aca="false">IF(H51="","",IF(6&gt;IF(H54="",10,H54),"",H51*(1+IF(H52="",0,H52))^ROUNDDOWN((6-1)/IF(H53="",5,H53),0)))</f>
        <v/>
      </c>
      <c r="S90" s="75" t="str">
        <f aca="false">IF(R90="","",IF((IF(H61="",IF($D$33="",0,$D$33),H61))=0,0,MAX(0,1437217.67-(IF(H62&lt;&gt;"",H62,IF($D$35&lt;&gt;"",$D$35,IF((IF(H61="",IF($D$33="",0,$D$33),H61))=0,0,H51/(IF(H61="",IF($D$33="",0,$D$33),H61)))))))*(IF(H61="",IF($D$33="",0,$D$33),H61))))</f>
        <v/>
      </c>
      <c r="T90" s="75" t="str">
        <f aca="false">IF(R90="","",R90+S90)</f>
        <v/>
      </c>
    </row>
    <row r="91" customFormat="false" ht="15" hidden="false" customHeight="false" outlineLevel="0" collapsed="false">
      <c r="A91" s="74" t="n">
        <v>7</v>
      </c>
      <c r="B91" s="75" t="n">
        <v>1465962</v>
      </c>
      <c r="C91" s="76" t="n">
        <v>129067</v>
      </c>
      <c r="D91" s="76" t="n">
        <v>0</v>
      </c>
      <c r="E91" s="76" t="n">
        <v>129067</v>
      </c>
      <c r="F91" s="75" t="n">
        <f aca="false">IF(D51="","",IF(7&gt;IF(D54="",10,D54),"",D51*(1+IF(D52="",0,D52))^ROUNDDOWN((7-1)/IF(D53="",5,D53),0)))</f>
        <v>131648.34</v>
      </c>
      <c r="G91" s="75" t="n">
        <f aca="false">IF(F91="","",IF((IF(D61="",IF($D$33="",0,$D$33),D61))=0,0,MAX(0,1465962.02-(IF(D62&lt;&gt;"",D62,IF($D$35&lt;&gt;"",$D$35,IF((IF(D61="",IF($D$33="",0,$D$33),D61))=0,0,D51/(IF(D61="",IF($D$33="",0,$D$33),D61)))))))*(IF(D61="",IF($D$33="",0,$D$33),D61))))</f>
        <v>0</v>
      </c>
      <c r="H91" s="75" t="n">
        <f aca="false">IF(F91="","",F91+G91)</f>
        <v>131648.34</v>
      </c>
      <c r="I91" s="75" t="str">
        <f aca="false">IF(E51="","",IF(7&gt;IF(E54="",10,E54),"",E51*(1+IF(E52="",0,E52))^ROUNDDOWN((7-1)/IF(E53="",5,E53),0)))</f>
        <v/>
      </c>
      <c r="J91" s="75" t="str">
        <f aca="false">IF(I91="","",IF((IF(E61="",IF($D$33="",0,$D$33),E61))=0,0,MAX(0,1465962.02-(IF(E62&lt;&gt;"",E62,IF($D$35&lt;&gt;"",$D$35,IF((IF(E61="",IF($D$33="",0,$D$33),E61))=0,0,E51/(IF(E61="",IF($D$33="",0,$D$33),E61)))))))*(IF(E61="",IF($D$33="",0,$D$33),E61))))</f>
        <v/>
      </c>
      <c r="K91" s="75" t="str">
        <f aca="false">IF(I91="","",I91+J91)</f>
        <v/>
      </c>
      <c r="L91" s="75" t="str">
        <f aca="false">IF(F51="","",IF(7&gt;IF(F54="",10,F54),"",F51*(1+IF(F52="",0,F52))^ROUNDDOWN((7-1)/IF(F53="",5,F53),0)))</f>
        <v/>
      </c>
      <c r="M91" s="75" t="str">
        <f aca="false">IF(L91="","",IF((IF(F61="",IF($D$33="",0,$D$33),F61))=0,0,MAX(0,1465962.02-(IF(F62&lt;&gt;"",F62,IF($D$35&lt;&gt;"",$D$35,IF((IF(F61="",IF($D$33="",0,$D$33),F61))=0,0,F51/(IF(F61="",IF($D$33="",0,$D$33),F61)))))))*(IF(F61="",IF($D$33="",0,$D$33),F61))))</f>
        <v/>
      </c>
      <c r="N91" s="75" t="str">
        <f aca="false">IF(L91="","",L91+M91)</f>
        <v/>
      </c>
      <c r="O91" s="75" t="str">
        <f aca="false">IF(G51="","",IF(7&gt;IF(G54="",10,G54),"",G51*(1+IF(G52="",0,G52))^ROUNDDOWN((7-1)/IF(G53="",5,G53),0)))</f>
        <v/>
      </c>
      <c r="P91" s="75" t="str">
        <f aca="false">IF(O91="","",IF((IF(G61="",IF($D$33="",0,$D$33),G61))=0,0,MAX(0,1465962.02-(IF(G62&lt;&gt;"",G62,IF($D$35&lt;&gt;"",$D$35,IF((IF(G61="",IF($D$33="",0,$D$33),G61))=0,0,G51/(IF(G61="",IF($D$33="",0,$D$33),G61)))))))*(IF(G61="",IF($D$33="",0,$D$33),G61))))</f>
        <v/>
      </c>
      <c r="Q91" s="75" t="str">
        <f aca="false">IF(O91="","",O91+P91)</f>
        <v/>
      </c>
      <c r="R91" s="75" t="str">
        <f aca="false">IF(H51="","",IF(7&gt;IF(H54="",10,H54),"",H51*(1+IF(H52="",0,H52))^ROUNDDOWN((7-1)/IF(H53="",5,H53),0)))</f>
        <v/>
      </c>
      <c r="S91" s="75" t="str">
        <f aca="false">IF(R91="","",IF((IF(H61="",IF($D$33="",0,$D$33),H61))=0,0,MAX(0,1465962.02-(IF(H62&lt;&gt;"",H62,IF($D$35&lt;&gt;"",$D$35,IF((IF(H61="",IF($D$33="",0,$D$33),H61))=0,0,H51/(IF(H61="",IF($D$33="",0,$D$33),H61)))))))*(IF(H61="",IF($D$33="",0,$D$33),H61))))</f>
        <v/>
      </c>
      <c r="T91" s="75" t="str">
        <f aca="false">IF(R91="","",R91+S91)</f>
        <v/>
      </c>
    </row>
    <row r="92" customFormat="false" ht="15" hidden="false" customHeight="false" outlineLevel="0" collapsed="false">
      <c r="A92" s="74" t="n">
        <v>8</v>
      </c>
      <c r="B92" s="75" t="n">
        <v>1495281</v>
      </c>
      <c r="C92" s="76" t="n">
        <v>129067</v>
      </c>
      <c r="D92" s="76" t="n">
        <v>0</v>
      </c>
      <c r="E92" s="76" t="n">
        <v>129067</v>
      </c>
      <c r="F92" s="75" t="n">
        <f aca="false">IF(D51="","",IF(8&gt;IF(D54="",10,D54),"",D51*(1+IF(D52="",0,D52))^ROUNDDOWN((8-1)/IF(D53="",5,D53),0)))</f>
        <v>131648.34</v>
      </c>
      <c r="G92" s="75" t="n">
        <f aca="false">IF(F92="","",IF((IF(D61="",IF($D$33="",0,$D$33),D61))=0,0,MAX(0,1495281.26-(IF(D62&lt;&gt;"",D62,IF($D$35&lt;&gt;"",$D$35,IF((IF(D61="",IF($D$33="",0,$D$33),D61))=0,0,D51/(IF(D61="",IF($D$33="",0,$D$33),D61)))))))*(IF(D61="",IF($D$33="",0,$D$33),D61))))</f>
        <v>0</v>
      </c>
      <c r="H92" s="75" t="n">
        <f aca="false">IF(F92="","",F92+G92)</f>
        <v>131648.34</v>
      </c>
      <c r="I92" s="75" t="str">
        <f aca="false">IF(E51="","",IF(8&gt;IF(E54="",10,E54),"",E51*(1+IF(E52="",0,E52))^ROUNDDOWN((8-1)/IF(E53="",5,E53),0)))</f>
        <v/>
      </c>
      <c r="J92" s="75" t="str">
        <f aca="false">IF(I92="","",IF((IF(E61="",IF($D$33="",0,$D$33),E61))=0,0,MAX(0,1495281.26-(IF(E62&lt;&gt;"",E62,IF($D$35&lt;&gt;"",$D$35,IF((IF(E61="",IF($D$33="",0,$D$33),E61))=0,0,E51/(IF(E61="",IF($D$33="",0,$D$33),E61)))))))*(IF(E61="",IF($D$33="",0,$D$33),E61))))</f>
        <v/>
      </c>
      <c r="K92" s="75" t="str">
        <f aca="false">IF(I92="","",I92+J92)</f>
        <v/>
      </c>
      <c r="L92" s="75" t="str">
        <f aca="false">IF(F51="","",IF(8&gt;IF(F54="",10,F54),"",F51*(1+IF(F52="",0,F52))^ROUNDDOWN((8-1)/IF(F53="",5,F53),0)))</f>
        <v/>
      </c>
      <c r="M92" s="75" t="str">
        <f aca="false">IF(L92="","",IF((IF(F61="",IF($D$33="",0,$D$33),F61))=0,0,MAX(0,1495281.26-(IF(F62&lt;&gt;"",F62,IF($D$35&lt;&gt;"",$D$35,IF((IF(F61="",IF($D$33="",0,$D$33),F61))=0,0,F51/(IF(F61="",IF($D$33="",0,$D$33),F61)))))))*(IF(F61="",IF($D$33="",0,$D$33),F61))))</f>
        <v/>
      </c>
      <c r="N92" s="75" t="str">
        <f aca="false">IF(L92="","",L92+M92)</f>
        <v/>
      </c>
      <c r="O92" s="75" t="str">
        <f aca="false">IF(G51="","",IF(8&gt;IF(G54="",10,G54),"",G51*(1+IF(G52="",0,G52))^ROUNDDOWN((8-1)/IF(G53="",5,G53),0)))</f>
        <v/>
      </c>
      <c r="P92" s="75" t="str">
        <f aca="false">IF(O92="","",IF((IF(G61="",IF($D$33="",0,$D$33),G61))=0,0,MAX(0,1495281.26-(IF(G62&lt;&gt;"",G62,IF($D$35&lt;&gt;"",$D$35,IF((IF(G61="",IF($D$33="",0,$D$33),G61))=0,0,G51/(IF(G61="",IF($D$33="",0,$D$33),G61)))))))*(IF(G61="",IF($D$33="",0,$D$33),G61))))</f>
        <v/>
      </c>
      <c r="Q92" s="75" t="str">
        <f aca="false">IF(O92="","",O92+P92)</f>
        <v/>
      </c>
      <c r="R92" s="75" t="str">
        <f aca="false">IF(H51="","",IF(8&gt;IF(H54="",10,H54),"",H51*(1+IF(H52="",0,H52))^ROUNDDOWN((8-1)/IF(H53="",5,H53),0)))</f>
        <v/>
      </c>
      <c r="S92" s="75" t="str">
        <f aca="false">IF(R92="","",IF((IF(H61="",IF($D$33="",0,$D$33),H61))=0,0,MAX(0,1495281.26-(IF(H62&lt;&gt;"",H62,IF($D$35&lt;&gt;"",$D$35,IF((IF(H61="",IF($D$33="",0,$D$33),H61))=0,0,H51/(IF(H61="",IF($D$33="",0,$D$33),H61)))))))*(IF(H61="",IF($D$33="",0,$D$33),H61))))</f>
        <v/>
      </c>
      <c r="T92" s="75" t="str">
        <f aca="false">IF(R92="","",R92+S92)</f>
        <v/>
      </c>
    </row>
    <row r="93" customFormat="false" ht="15" hidden="false" customHeight="false" outlineLevel="0" collapsed="false">
      <c r="A93" s="74" t="n">
        <v>9</v>
      </c>
      <c r="B93" s="75" t="n">
        <v>1525187</v>
      </c>
      <c r="C93" s="76" t="n">
        <v>129067</v>
      </c>
      <c r="D93" s="76" t="n">
        <v>0</v>
      </c>
      <c r="E93" s="76" t="n">
        <v>129067</v>
      </c>
      <c r="F93" s="75" t="n">
        <f aca="false">IF(D51="","",IF(9&gt;IF(D54="",10,D54),"",D51*(1+IF(D52="",0,D52))^ROUNDDOWN((9-1)/IF(D53="",5,D53),0)))</f>
        <v>131648.34</v>
      </c>
      <c r="G93" s="75" t="n">
        <f aca="false">IF(F93="","",IF((IF(D61="",IF($D$33="",0,$D$33),D61))=0,0,MAX(0,1525186.88-(IF(D62&lt;&gt;"",D62,IF($D$35&lt;&gt;"",$D$35,IF((IF(D61="",IF($D$33="",0,$D$33),D61))=0,0,D51/(IF(D61="",IF($D$33="",0,$D$33),D61)))))))*(IF(D61="",IF($D$33="",0,$D$33),D61))))</f>
        <v>0</v>
      </c>
      <c r="H93" s="75" t="n">
        <f aca="false">IF(F93="","",F93+G93)</f>
        <v>131648.34</v>
      </c>
      <c r="I93" s="75" t="str">
        <f aca="false">IF(E51="","",IF(9&gt;IF(E54="",10,E54),"",E51*(1+IF(E52="",0,E52))^ROUNDDOWN((9-1)/IF(E53="",5,E53),0)))</f>
        <v/>
      </c>
      <c r="J93" s="75" t="str">
        <f aca="false">IF(I93="","",IF((IF(E61="",IF($D$33="",0,$D$33),E61))=0,0,MAX(0,1525186.88-(IF(E62&lt;&gt;"",E62,IF($D$35&lt;&gt;"",$D$35,IF((IF(E61="",IF($D$33="",0,$D$33),E61))=0,0,E51/(IF(E61="",IF($D$33="",0,$D$33),E61)))))))*(IF(E61="",IF($D$33="",0,$D$33),E61))))</f>
        <v/>
      </c>
      <c r="K93" s="75" t="str">
        <f aca="false">IF(I93="","",I93+J93)</f>
        <v/>
      </c>
      <c r="L93" s="75" t="str">
        <f aca="false">IF(F51="","",IF(9&gt;IF(F54="",10,F54),"",F51*(1+IF(F52="",0,F52))^ROUNDDOWN((9-1)/IF(F53="",5,F53),0)))</f>
        <v/>
      </c>
      <c r="M93" s="75" t="str">
        <f aca="false">IF(L93="","",IF((IF(F61="",IF($D$33="",0,$D$33),F61))=0,0,MAX(0,1525186.88-(IF(F62&lt;&gt;"",F62,IF($D$35&lt;&gt;"",$D$35,IF((IF(F61="",IF($D$33="",0,$D$33),F61))=0,0,F51/(IF(F61="",IF($D$33="",0,$D$33),F61)))))))*(IF(F61="",IF($D$33="",0,$D$33),F61))))</f>
        <v/>
      </c>
      <c r="N93" s="75" t="str">
        <f aca="false">IF(L93="","",L93+M93)</f>
        <v/>
      </c>
      <c r="O93" s="75" t="str">
        <f aca="false">IF(G51="","",IF(9&gt;IF(G54="",10,G54),"",G51*(1+IF(G52="",0,G52))^ROUNDDOWN((9-1)/IF(G53="",5,G53),0)))</f>
        <v/>
      </c>
      <c r="P93" s="75" t="str">
        <f aca="false">IF(O93="","",IF((IF(G61="",IF($D$33="",0,$D$33),G61))=0,0,MAX(0,1525186.88-(IF(G62&lt;&gt;"",G62,IF($D$35&lt;&gt;"",$D$35,IF((IF(G61="",IF($D$33="",0,$D$33),G61))=0,0,G51/(IF(G61="",IF($D$33="",0,$D$33),G61)))))))*(IF(G61="",IF($D$33="",0,$D$33),G61))))</f>
        <v/>
      </c>
      <c r="Q93" s="75" t="str">
        <f aca="false">IF(O93="","",O93+P93)</f>
        <v/>
      </c>
      <c r="R93" s="75" t="str">
        <f aca="false">IF(H51="","",IF(9&gt;IF(H54="",10,H54),"",H51*(1+IF(H52="",0,H52))^ROUNDDOWN((9-1)/IF(H53="",5,H53),0)))</f>
        <v/>
      </c>
      <c r="S93" s="75" t="str">
        <f aca="false">IF(R93="","",IF((IF(H61="",IF($D$33="",0,$D$33),H61))=0,0,MAX(0,1525186.88-(IF(H62&lt;&gt;"",H62,IF($D$35&lt;&gt;"",$D$35,IF((IF(H61="",IF($D$33="",0,$D$33),H61))=0,0,H51/(IF(H61="",IF($D$33="",0,$D$33),H61)))))))*(IF(H61="",IF($D$33="",0,$D$33),H61))))</f>
        <v/>
      </c>
      <c r="T93" s="75" t="str">
        <f aca="false">IF(R93="","",R93+S93)</f>
        <v/>
      </c>
    </row>
    <row r="94" customFormat="false" ht="15" hidden="false" customHeight="false" outlineLevel="0" collapsed="false">
      <c r="A94" s="74" t="n">
        <v>10</v>
      </c>
      <c r="B94" s="75" t="n">
        <v>1555691</v>
      </c>
      <c r="C94" s="76" t="n">
        <v>129067</v>
      </c>
      <c r="D94" s="76" t="n">
        <v>0</v>
      </c>
      <c r="E94" s="76" t="n">
        <v>129067</v>
      </c>
      <c r="F94" s="75" t="n">
        <f aca="false">IF(D51="","",IF(10&gt;IF(D54="",10,D54),"",D51*(1+IF(D52="",0,D52))^ROUNDDOWN((10-1)/IF(D53="",5,D53),0)))</f>
        <v>131648.34</v>
      </c>
      <c r="G94" s="75" t="n">
        <f aca="false">IF(F94="","",IF((IF(D61="",IF($D$33="",0,$D$33),D61))=0,0,MAX(0,1555690.62-(IF(D62&lt;&gt;"",D62,IF($D$35&lt;&gt;"",$D$35,IF((IF(D61="",IF($D$33="",0,$D$33),D61))=0,0,D51/(IF(D61="",IF($D$33="",0,$D$33),D61)))))))*(IF(D61="",IF($D$33="",0,$D$33),D61))))</f>
        <v>0</v>
      </c>
      <c r="H94" s="75" t="n">
        <f aca="false">IF(F94="","",F94+G94)</f>
        <v>131648.34</v>
      </c>
      <c r="I94" s="75" t="str">
        <f aca="false">IF(E51="","",IF(10&gt;IF(E54="",10,E54),"",E51*(1+IF(E52="",0,E52))^ROUNDDOWN((10-1)/IF(E53="",5,E53),0)))</f>
        <v/>
      </c>
      <c r="J94" s="75" t="str">
        <f aca="false">IF(I94="","",IF((IF(E61="",IF($D$33="",0,$D$33),E61))=0,0,MAX(0,1555690.62-(IF(E62&lt;&gt;"",E62,IF($D$35&lt;&gt;"",$D$35,IF((IF(E61="",IF($D$33="",0,$D$33),E61))=0,0,E51/(IF(E61="",IF($D$33="",0,$D$33),E61)))))))*(IF(E61="",IF($D$33="",0,$D$33),E61))))</f>
        <v/>
      </c>
      <c r="K94" s="75" t="str">
        <f aca="false">IF(I94="","",I94+J94)</f>
        <v/>
      </c>
      <c r="L94" s="75" t="str">
        <f aca="false">IF(F51="","",IF(10&gt;IF(F54="",10,F54),"",F51*(1+IF(F52="",0,F52))^ROUNDDOWN((10-1)/IF(F53="",5,F53),0)))</f>
        <v/>
      </c>
      <c r="M94" s="75" t="str">
        <f aca="false">IF(L94="","",IF((IF(F61="",IF($D$33="",0,$D$33),F61))=0,0,MAX(0,1555690.62-(IF(F62&lt;&gt;"",F62,IF($D$35&lt;&gt;"",$D$35,IF((IF(F61="",IF($D$33="",0,$D$33),F61))=0,0,F51/(IF(F61="",IF($D$33="",0,$D$33),F61)))))))*(IF(F61="",IF($D$33="",0,$D$33),F61))))</f>
        <v/>
      </c>
      <c r="N94" s="75" t="str">
        <f aca="false">IF(L94="","",L94+M94)</f>
        <v/>
      </c>
      <c r="O94" s="75" t="str">
        <f aca="false">IF(G51="","",IF(10&gt;IF(G54="",10,G54),"",G51*(1+IF(G52="",0,G52))^ROUNDDOWN((10-1)/IF(G53="",5,G53),0)))</f>
        <v/>
      </c>
      <c r="P94" s="75" t="str">
        <f aca="false">IF(O94="","",IF((IF(G61="",IF($D$33="",0,$D$33),G61))=0,0,MAX(0,1555690.62-(IF(G62&lt;&gt;"",G62,IF($D$35&lt;&gt;"",$D$35,IF((IF(G61="",IF($D$33="",0,$D$33),G61))=0,0,G51/(IF(G61="",IF($D$33="",0,$D$33),G61)))))))*(IF(G61="",IF($D$33="",0,$D$33),G61))))</f>
        <v/>
      </c>
      <c r="Q94" s="75" t="str">
        <f aca="false">IF(O94="","",O94+P94)</f>
        <v/>
      </c>
      <c r="R94" s="75" t="str">
        <f aca="false">IF(H51="","",IF(10&gt;IF(H54="",10,H54),"",H51*(1+IF(H52="",0,H52))^ROUNDDOWN((10-1)/IF(H53="",5,H53),0)))</f>
        <v/>
      </c>
      <c r="S94" s="75" t="str">
        <f aca="false">IF(R94="","",IF((IF(H61="",IF($D$33="",0,$D$33),H61))=0,0,MAX(0,1555690.62-(IF(H62&lt;&gt;"",H62,IF($D$35&lt;&gt;"",$D$35,IF((IF(H61="",IF($D$33="",0,$D$33),H61))=0,0,H51/(IF(H61="",IF($D$33="",0,$D$33),H61)))))))*(IF(H61="",IF($D$33="",0,$D$33),H61))))</f>
        <v/>
      </c>
      <c r="T94" s="75" t="str">
        <f aca="false">IF(R94="","",R94+S94)</f>
        <v/>
      </c>
    </row>
    <row r="95" customFormat="false" ht="15" hidden="false" customHeight="false" outlineLevel="0" collapsed="false">
      <c r="A95" s="74" t="n">
        <v>11</v>
      </c>
      <c r="B95" s="75" t="n">
        <v>1586804</v>
      </c>
      <c r="C95" s="76" t="n">
        <v>129067</v>
      </c>
      <c r="D95" s="76" t="n">
        <v>0</v>
      </c>
      <c r="E95" s="76" t="n">
        <v>129067</v>
      </c>
      <c r="F95" s="75" t="n">
        <f aca="false">IF(D51="","",IF(11&gt;IF(D54="",10,D54),"",D51*(1+IF(D52="",0,D52))^ROUNDDOWN((11-1)/IF(D53="",5,D53),0)))</f>
        <v>134281.3068</v>
      </c>
      <c r="G95" s="75" t="n">
        <f aca="false">IF(F95="","",IF((IF(D61="",IF($D$33="",0,$D$33),D61))=0,0,MAX(0,1586804.43-(IF(D62&lt;&gt;"",D62,IF($D$35&lt;&gt;"",$D$35,IF((IF(D61="",IF($D$33="",0,$D$33),D61))=0,0,D51/(IF(D61="",IF($D$33="",0,$D$33),D61)))))))*(IF(D61="",IF($D$33="",0,$D$33),D61))))</f>
        <v>0</v>
      </c>
      <c r="H95" s="75" t="n">
        <f aca="false">IF(F95="","",F95+G95)</f>
        <v>134281.3068</v>
      </c>
      <c r="I95" s="75" t="str">
        <f aca="false">IF(E51="","",IF(11&gt;IF(E54="",10,E54),"",E51*(1+IF(E52="",0,E52))^ROUNDDOWN((11-1)/IF(E53="",5,E53),0)))</f>
        <v/>
      </c>
      <c r="J95" s="75" t="str">
        <f aca="false">IF(I95="","",IF((IF(E61="",IF($D$33="",0,$D$33),E61))=0,0,MAX(0,1586804.43-(IF(E62&lt;&gt;"",E62,IF($D$35&lt;&gt;"",$D$35,IF((IF(E61="",IF($D$33="",0,$D$33),E61))=0,0,E51/(IF(E61="",IF($D$33="",0,$D$33),E61)))))))*(IF(E61="",IF($D$33="",0,$D$33),E61))))</f>
        <v/>
      </c>
      <c r="K95" s="75" t="str">
        <f aca="false">IF(I95="","",I95+J95)</f>
        <v/>
      </c>
      <c r="L95" s="75" t="str">
        <f aca="false">IF(F51="","",IF(11&gt;IF(F54="",10,F54),"",F51*(1+IF(F52="",0,F52))^ROUNDDOWN((11-1)/IF(F53="",5,F53),0)))</f>
        <v/>
      </c>
      <c r="M95" s="75" t="str">
        <f aca="false">IF(L95="","",IF((IF(F61="",IF($D$33="",0,$D$33),F61))=0,0,MAX(0,1586804.43-(IF(F62&lt;&gt;"",F62,IF($D$35&lt;&gt;"",$D$35,IF((IF(F61="",IF($D$33="",0,$D$33),F61))=0,0,F51/(IF(F61="",IF($D$33="",0,$D$33),F61)))))))*(IF(F61="",IF($D$33="",0,$D$33),F61))))</f>
        <v/>
      </c>
      <c r="N95" s="75" t="str">
        <f aca="false">IF(L95="","",L95+M95)</f>
        <v/>
      </c>
      <c r="O95" s="75" t="str">
        <f aca="false">IF(G51="","",IF(11&gt;IF(G54="",10,G54),"",G51*(1+IF(G52="",0,G52))^ROUNDDOWN((11-1)/IF(G53="",5,G53),0)))</f>
        <v/>
      </c>
      <c r="P95" s="75" t="str">
        <f aca="false">IF(O95="","",IF((IF(G61="",IF($D$33="",0,$D$33),G61))=0,0,MAX(0,1586804.43-(IF(G62&lt;&gt;"",G62,IF($D$35&lt;&gt;"",$D$35,IF((IF(G61="",IF($D$33="",0,$D$33),G61))=0,0,G51/(IF(G61="",IF($D$33="",0,$D$33),G61)))))))*(IF(G61="",IF($D$33="",0,$D$33),G61))))</f>
        <v/>
      </c>
      <c r="Q95" s="75" t="str">
        <f aca="false">IF(O95="","",O95+P95)</f>
        <v/>
      </c>
      <c r="R95" s="75" t="str">
        <f aca="false">IF(H51="","",IF(11&gt;IF(H54="",10,H54),"",H51*(1+IF(H52="",0,H52))^ROUNDDOWN((11-1)/IF(H53="",5,H53),0)))</f>
        <v/>
      </c>
      <c r="S95" s="75" t="str">
        <f aca="false">IF(R95="","",IF((IF(H61="",IF($D$33="",0,$D$33),H61))=0,0,MAX(0,1586804.43-(IF(H62&lt;&gt;"",H62,IF($D$35&lt;&gt;"",$D$35,IF((IF(H61="",IF($D$33="",0,$D$33),H61))=0,0,H51/(IF(H61="",IF($D$33="",0,$D$33),H61)))))))*(IF(H61="",IF($D$33="",0,$D$33),H61))))</f>
        <v/>
      </c>
      <c r="T95" s="75" t="str">
        <f aca="false">IF(R95="","",R95+S95)</f>
        <v/>
      </c>
    </row>
    <row r="96" customFormat="false" ht="15" hidden="false" customHeight="false" outlineLevel="0" collapsed="false">
      <c r="A96" s="74" t="n">
        <v>12</v>
      </c>
      <c r="B96" s="75" t="n">
        <v>1618541</v>
      </c>
      <c r="C96" s="76" t="n">
        <v>129067</v>
      </c>
      <c r="D96" s="76" t="n">
        <v>0</v>
      </c>
      <c r="E96" s="76" t="n">
        <v>129067</v>
      </c>
      <c r="F96" s="75" t="n">
        <f aca="false">IF(D51="","",IF(12&gt;IF(D54="",10,D54),"",D51*(1+IF(D52="",0,D52))^ROUNDDOWN((12-1)/IF(D53="",5,D53),0)))</f>
        <v>134281.3068</v>
      </c>
      <c r="G96" s="75" t="n">
        <f aca="false">IF(F96="","",IF((IF(D61="",IF($D$33="",0,$D$33),D61))=0,0,MAX(0,1618540.52-(IF(D62&lt;&gt;"",D62,IF($D$35&lt;&gt;"",$D$35,IF((IF(D61="",IF($D$33="",0,$D$33),D61))=0,0,D51/(IF(D61="",IF($D$33="",0,$D$33),D61)))))))*(IF(D61="",IF($D$33="",0,$D$33),D61))))</f>
        <v>0</v>
      </c>
      <c r="H96" s="75" t="n">
        <f aca="false">IF(F96="","",F96+G96)</f>
        <v>134281.3068</v>
      </c>
      <c r="I96" s="75" t="str">
        <f aca="false">IF(E51="","",IF(12&gt;IF(E54="",10,E54),"",E51*(1+IF(E52="",0,E52))^ROUNDDOWN((12-1)/IF(E53="",5,E53),0)))</f>
        <v/>
      </c>
      <c r="J96" s="75" t="str">
        <f aca="false">IF(I96="","",IF((IF(E61="",IF($D$33="",0,$D$33),E61))=0,0,MAX(0,1618540.52-(IF(E62&lt;&gt;"",E62,IF($D$35&lt;&gt;"",$D$35,IF((IF(E61="",IF($D$33="",0,$D$33),E61))=0,0,E51/(IF(E61="",IF($D$33="",0,$D$33),E61)))))))*(IF(E61="",IF($D$33="",0,$D$33),E61))))</f>
        <v/>
      </c>
      <c r="K96" s="75" t="str">
        <f aca="false">IF(I96="","",I96+J96)</f>
        <v/>
      </c>
      <c r="L96" s="75" t="str">
        <f aca="false">IF(F51="","",IF(12&gt;IF(F54="",10,F54),"",F51*(1+IF(F52="",0,F52))^ROUNDDOWN((12-1)/IF(F53="",5,F53),0)))</f>
        <v/>
      </c>
      <c r="M96" s="75" t="str">
        <f aca="false">IF(L96="","",IF((IF(F61="",IF($D$33="",0,$D$33),F61))=0,0,MAX(0,1618540.52-(IF(F62&lt;&gt;"",F62,IF($D$35&lt;&gt;"",$D$35,IF((IF(F61="",IF($D$33="",0,$D$33),F61))=0,0,F51/(IF(F61="",IF($D$33="",0,$D$33),F61)))))))*(IF(F61="",IF($D$33="",0,$D$33),F61))))</f>
        <v/>
      </c>
      <c r="N96" s="75" t="str">
        <f aca="false">IF(L96="","",L96+M96)</f>
        <v/>
      </c>
      <c r="O96" s="75" t="str">
        <f aca="false">IF(G51="","",IF(12&gt;IF(G54="",10,G54),"",G51*(1+IF(G52="",0,G52))^ROUNDDOWN((12-1)/IF(G53="",5,G53),0)))</f>
        <v/>
      </c>
      <c r="P96" s="75" t="str">
        <f aca="false">IF(O96="","",IF((IF(G61="",IF($D$33="",0,$D$33),G61))=0,0,MAX(0,1618540.52-(IF(G62&lt;&gt;"",G62,IF($D$35&lt;&gt;"",$D$35,IF((IF(G61="",IF($D$33="",0,$D$33),G61))=0,0,G51/(IF(G61="",IF($D$33="",0,$D$33),G61)))))))*(IF(G61="",IF($D$33="",0,$D$33),G61))))</f>
        <v/>
      </c>
      <c r="Q96" s="75" t="str">
        <f aca="false">IF(O96="","",O96+P96)</f>
        <v/>
      </c>
      <c r="R96" s="75" t="str">
        <f aca="false">IF(H51="","",IF(12&gt;IF(H54="",10,H54),"",H51*(1+IF(H52="",0,H52))^ROUNDDOWN((12-1)/IF(H53="",5,H53),0)))</f>
        <v/>
      </c>
      <c r="S96" s="75" t="str">
        <f aca="false">IF(R96="","",IF((IF(H61="",IF($D$33="",0,$D$33),H61))=0,0,MAX(0,1618540.52-(IF(H62&lt;&gt;"",H62,IF($D$35&lt;&gt;"",$D$35,IF((IF(H61="",IF($D$33="",0,$D$33),H61))=0,0,H51/(IF(H61="",IF($D$33="",0,$D$33),H61)))))))*(IF(H61="",IF($D$33="",0,$D$33),H61))))</f>
        <v/>
      </c>
      <c r="T96" s="75" t="str">
        <f aca="false">IF(R96="","",R96+S96)</f>
        <v/>
      </c>
    </row>
    <row r="97" customFormat="false" ht="15" hidden="false" customHeight="false" outlineLevel="0" collapsed="false">
      <c r="A97" s="74" t="n">
        <v>13</v>
      </c>
      <c r="B97" s="75" t="n">
        <v>1650911</v>
      </c>
      <c r="C97" s="76" t="n">
        <v>129067</v>
      </c>
      <c r="D97" s="76" t="n">
        <v>0</v>
      </c>
      <c r="E97" s="76" t="n">
        <v>129067</v>
      </c>
      <c r="F97" s="75" t="n">
        <f aca="false">IF(D51="","",IF(13&gt;IF(D54="",10,D54),"",D51*(1+IF(D52="",0,D52))^ROUNDDOWN((13-1)/IF(D53="",5,D53),0)))</f>
        <v>134281.3068</v>
      </c>
      <c r="G97" s="75" t="n">
        <f aca="false">IF(F97="","",IF((IF(D61="",IF($D$33="",0,$D$33),D61))=0,0,MAX(0,1650911.33-(IF(D62&lt;&gt;"",D62,IF($D$35&lt;&gt;"",$D$35,IF((IF(D61="",IF($D$33="",0,$D$33),D61))=0,0,D51/(IF(D61="",IF($D$33="",0,$D$33),D61)))))))*(IF(D61="",IF($D$33="",0,$D$33),D61))))</f>
        <v>0</v>
      </c>
      <c r="H97" s="75" t="n">
        <f aca="false">IF(F97="","",F97+G97)</f>
        <v>134281.3068</v>
      </c>
      <c r="I97" s="75" t="str">
        <f aca="false">IF(E51="","",IF(13&gt;IF(E54="",10,E54),"",E51*(1+IF(E52="",0,E52))^ROUNDDOWN((13-1)/IF(E53="",5,E53),0)))</f>
        <v/>
      </c>
      <c r="J97" s="75" t="str">
        <f aca="false">IF(I97="","",IF((IF(E61="",IF($D$33="",0,$D$33),E61))=0,0,MAX(0,1650911.33-(IF(E62&lt;&gt;"",E62,IF($D$35&lt;&gt;"",$D$35,IF((IF(E61="",IF($D$33="",0,$D$33),E61))=0,0,E51/(IF(E61="",IF($D$33="",0,$D$33),E61)))))))*(IF(E61="",IF($D$33="",0,$D$33),E61))))</f>
        <v/>
      </c>
      <c r="K97" s="75" t="str">
        <f aca="false">IF(I97="","",I97+J97)</f>
        <v/>
      </c>
      <c r="L97" s="75" t="str">
        <f aca="false">IF(F51="","",IF(13&gt;IF(F54="",10,F54),"",F51*(1+IF(F52="",0,F52))^ROUNDDOWN((13-1)/IF(F53="",5,F53),0)))</f>
        <v/>
      </c>
      <c r="M97" s="75" t="str">
        <f aca="false">IF(L97="","",IF((IF(F61="",IF($D$33="",0,$D$33),F61))=0,0,MAX(0,1650911.33-(IF(F62&lt;&gt;"",F62,IF($D$35&lt;&gt;"",$D$35,IF((IF(F61="",IF($D$33="",0,$D$33),F61))=0,0,F51/(IF(F61="",IF($D$33="",0,$D$33),F61)))))))*(IF(F61="",IF($D$33="",0,$D$33),F61))))</f>
        <v/>
      </c>
      <c r="N97" s="75" t="str">
        <f aca="false">IF(L97="","",L97+M97)</f>
        <v/>
      </c>
      <c r="O97" s="75" t="str">
        <f aca="false">IF(G51="","",IF(13&gt;IF(G54="",10,G54),"",G51*(1+IF(G52="",0,G52))^ROUNDDOWN((13-1)/IF(G53="",5,G53),0)))</f>
        <v/>
      </c>
      <c r="P97" s="75" t="str">
        <f aca="false">IF(O97="","",IF((IF(G61="",IF($D$33="",0,$D$33),G61))=0,0,MAX(0,1650911.33-(IF(G62&lt;&gt;"",G62,IF($D$35&lt;&gt;"",$D$35,IF((IF(G61="",IF($D$33="",0,$D$33),G61))=0,0,G51/(IF(G61="",IF($D$33="",0,$D$33),G61)))))))*(IF(G61="",IF($D$33="",0,$D$33),G61))))</f>
        <v/>
      </c>
      <c r="Q97" s="75" t="str">
        <f aca="false">IF(O97="","",O97+P97)</f>
        <v/>
      </c>
      <c r="R97" s="75" t="str">
        <f aca="false">IF(H51="","",IF(13&gt;IF(H54="",10,H54),"",H51*(1+IF(H52="",0,H52))^ROUNDDOWN((13-1)/IF(H53="",5,H53),0)))</f>
        <v/>
      </c>
      <c r="S97" s="75" t="str">
        <f aca="false">IF(R97="","",IF((IF(H61="",IF($D$33="",0,$D$33),H61))=0,0,MAX(0,1650911.33-(IF(H62&lt;&gt;"",H62,IF($D$35&lt;&gt;"",$D$35,IF((IF(H61="",IF($D$33="",0,$D$33),H61))=0,0,H51/(IF(H61="",IF($D$33="",0,$D$33),H61)))))))*(IF(H61="",IF($D$33="",0,$D$33),H61))))</f>
        <v/>
      </c>
      <c r="T97" s="75" t="str">
        <f aca="false">IF(R97="","",R97+S97)</f>
        <v/>
      </c>
    </row>
    <row r="98" customFormat="false" ht="15" hidden="false" customHeight="false" outlineLevel="0" collapsed="false">
      <c r="A98" s="74" t="n">
        <v>14</v>
      </c>
      <c r="B98" s="75" t="n">
        <v>1683930</v>
      </c>
      <c r="C98" s="76" t="n">
        <v>129067</v>
      </c>
      <c r="D98" s="76" t="n">
        <v>0</v>
      </c>
      <c r="E98" s="76" t="n">
        <v>129067</v>
      </c>
      <c r="F98" s="75" t="n">
        <f aca="false">IF(D51="","",IF(14&gt;IF(D54="",10,D54),"",D51*(1+IF(D52="",0,D52))^ROUNDDOWN((14-1)/IF(D53="",5,D53),0)))</f>
        <v>134281.3068</v>
      </c>
      <c r="G98" s="75" t="n">
        <f aca="false">IF(F98="","",IF((IF(D61="",IF($D$33="",0,$D$33),D61))=0,0,MAX(0,1683929.56-(IF(D62&lt;&gt;"",D62,IF($D$35&lt;&gt;"",$D$35,IF((IF(D61="",IF($D$33="",0,$D$33),D61))=0,0,D51/(IF(D61="",IF($D$33="",0,$D$33),D61)))))))*(IF(D61="",IF($D$33="",0,$D$33),D61))))</f>
        <v>0</v>
      </c>
      <c r="H98" s="75" t="n">
        <f aca="false">IF(F98="","",F98+G98)</f>
        <v>134281.3068</v>
      </c>
      <c r="I98" s="75" t="str">
        <f aca="false">IF(E51="","",IF(14&gt;IF(E54="",10,E54),"",E51*(1+IF(E52="",0,E52))^ROUNDDOWN((14-1)/IF(E53="",5,E53),0)))</f>
        <v/>
      </c>
      <c r="J98" s="75" t="str">
        <f aca="false">IF(I98="","",IF((IF(E61="",IF($D$33="",0,$D$33),E61))=0,0,MAX(0,1683929.56-(IF(E62&lt;&gt;"",E62,IF($D$35&lt;&gt;"",$D$35,IF((IF(E61="",IF($D$33="",0,$D$33),E61))=0,0,E51/(IF(E61="",IF($D$33="",0,$D$33),E61)))))))*(IF(E61="",IF($D$33="",0,$D$33),E61))))</f>
        <v/>
      </c>
      <c r="K98" s="75" t="str">
        <f aca="false">IF(I98="","",I98+J98)</f>
        <v/>
      </c>
      <c r="L98" s="75" t="str">
        <f aca="false">IF(F51="","",IF(14&gt;IF(F54="",10,F54),"",F51*(1+IF(F52="",0,F52))^ROUNDDOWN((14-1)/IF(F53="",5,F53),0)))</f>
        <v/>
      </c>
      <c r="M98" s="75" t="str">
        <f aca="false">IF(L98="","",IF((IF(F61="",IF($D$33="",0,$D$33),F61))=0,0,MAX(0,1683929.56-(IF(F62&lt;&gt;"",F62,IF($D$35&lt;&gt;"",$D$35,IF((IF(F61="",IF($D$33="",0,$D$33),F61))=0,0,F51/(IF(F61="",IF($D$33="",0,$D$33),F61)))))))*(IF(F61="",IF($D$33="",0,$D$33),F61))))</f>
        <v/>
      </c>
      <c r="N98" s="75" t="str">
        <f aca="false">IF(L98="","",L98+M98)</f>
        <v/>
      </c>
      <c r="O98" s="75" t="str">
        <f aca="false">IF(G51="","",IF(14&gt;IF(G54="",10,G54),"",G51*(1+IF(G52="",0,G52))^ROUNDDOWN((14-1)/IF(G53="",5,G53),0)))</f>
        <v/>
      </c>
      <c r="P98" s="75" t="str">
        <f aca="false">IF(O98="","",IF((IF(G61="",IF($D$33="",0,$D$33),G61))=0,0,MAX(0,1683929.56-(IF(G62&lt;&gt;"",G62,IF($D$35&lt;&gt;"",$D$35,IF((IF(G61="",IF($D$33="",0,$D$33),G61))=0,0,G51/(IF(G61="",IF($D$33="",0,$D$33),G61)))))))*(IF(G61="",IF($D$33="",0,$D$33),G61))))</f>
        <v/>
      </c>
      <c r="Q98" s="75" t="str">
        <f aca="false">IF(O98="","",O98+P98)</f>
        <v/>
      </c>
      <c r="R98" s="75" t="str">
        <f aca="false">IF(H51="","",IF(14&gt;IF(H54="",10,H54),"",H51*(1+IF(H52="",0,H52))^ROUNDDOWN((14-1)/IF(H53="",5,H53),0)))</f>
        <v/>
      </c>
      <c r="S98" s="75" t="str">
        <f aca="false">IF(R98="","",IF((IF(H61="",IF($D$33="",0,$D$33),H61))=0,0,MAX(0,1683929.56-(IF(H62&lt;&gt;"",H62,IF($D$35&lt;&gt;"",$D$35,IF((IF(H61="",IF($D$33="",0,$D$33),H61))=0,0,H51/(IF(H61="",IF($D$33="",0,$D$33),H61)))))))*(IF(H61="",IF($D$33="",0,$D$33),H61))))</f>
        <v/>
      </c>
      <c r="T98" s="75" t="str">
        <f aca="false">IF(R98="","",R98+S98)</f>
        <v/>
      </c>
    </row>
    <row r="99" customFormat="false" ht="15" hidden="false" customHeight="false" outlineLevel="0" collapsed="false">
      <c r="A99" s="74" t="n">
        <v>15</v>
      </c>
      <c r="B99" s="75" t="n">
        <v>1717608</v>
      </c>
      <c r="C99" s="76" t="n">
        <v>129067</v>
      </c>
      <c r="D99" s="76" t="n">
        <v>0</v>
      </c>
      <c r="E99" s="76" t="n">
        <v>129067</v>
      </c>
      <c r="F99" s="75" t="n">
        <f aca="false">IF(D51="","",IF(15&gt;IF(D54="",10,D54),"",D51*(1+IF(D52="",0,D52))^ROUNDDOWN((15-1)/IF(D53="",5,D53),0)))</f>
        <v>134281.3068</v>
      </c>
      <c r="G99" s="75" t="n">
        <f aca="false">IF(F99="","",IF((IF(D61="",IF($D$33="",0,$D$33),D61))=0,0,MAX(0,1717608.15-(IF(D62&lt;&gt;"",D62,IF($D$35&lt;&gt;"",$D$35,IF((IF(D61="",IF($D$33="",0,$D$33),D61))=0,0,D51/(IF(D61="",IF($D$33="",0,$D$33),D61)))))))*(IF(D61="",IF($D$33="",0,$D$33),D61))))</f>
        <v>0</v>
      </c>
      <c r="H99" s="75" t="n">
        <f aca="false">IF(F99="","",F99+G99)</f>
        <v>134281.3068</v>
      </c>
      <c r="I99" s="75" t="str">
        <f aca="false">IF(E51="","",IF(15&gt;IF(E54="",10,E54),"",E51*(1+IF(E52="",0,E52))^ROUNDDOWN((15-1)/IF(E53="",5,E53),0)))</f>
        <v/>
      </c>
      <c r="J99" s="75" t="str">
        <f aca="false">IF(I99="","",IF((IF(E61="",IF($D$33="",0,$D$33),E61))=0,0,MAX(0,1717608.15-(IF(E62&lt;&gt;"",E62,IF($D$35&lt;&gt;"",$D$35,IF((IF(E61="",IF($D$33="",0,$D$33),E61))=0,0,E51/(IF(E61="",IF($D$33="",0,$D$33),E61)))))))*(IF(E61="",IF($D$33="",0,$D$33),E61))))</f>
        <v/>
      </c>
      <c r="K99" s="75" t="str">
        <f aca="false">IF(I99="","",I99+J99)</f>
        <v/>
      </c>
      <c r="L99" s="75" t="str">
        <f aca="false">IF(F51="","",IF(15&gt;IF(F54="",10,F54),"",F51*(1+IF(F52="",0,F52))^ROUNDDOWN((15-1)/IF(F53="",5,F53),0)))</f>
        <v/>
      </c>
      <c r="M99" s="75" t="str">
        <f aca="false">IF(L99="","",IF((IF(F61="",IF($D$33="",0,$D$33),F61))=0,0,MAX(0,1717608.15-(IF(F62&lt;&gt;"",F62,IF($D$35&lt;&gt;"",$D$35,IF((IF(F61="",IF($D$33="",0,$D$33),F61))=0,0,F51/(IF(F61="",IF($D$33="",0,$D$33),F61)))))))*(IF(F61="",IF($D$33="",0,$D$33),F61))))</f>
        <v/>
      </c>
      <c r="N99" s="75" t="str">
        <f aca="false">IF(L99="","",L99+M99)</f>
        <v/>
      </c>
      <c r="O99" s="75" t="str">
        <f aca="false">IF(G51="","",IF(15&gt;IF(G54="",10,G54),"",G51*(1+IF(G52="",0,G52))^ROUNDDOWN((15-1)/IF(G53="",5,G53),0)))</f>
        <v/>
      </c>
      <c r="P99" s="75" t="str">
        <f aca="false">IF(O99="","",IF((IF(G61="",IF($D$33="",0,$D$33),G61))=0,0,MAX(0,1717608.15-(IF(G62&lt;&gt;"",G62,IF($D$35&lt;&gt;"",$D$35,IF((IF(G61="",IF($D$33="",0,$D$33),G61))=0,0,G51/(IF(G61="",IF($D$33="",0,$D$33),G61)))))))*(IF(G61="",IF($D$33="",0,$D$33),G61))))</f>
        <v/>
      </c>
      <c r="Q99" s="75" t="str">
        <f aca="false">IF(O99="","",O99+P99)</f>
        <v/>
      </c>
      <c r="R99" s="75" t="str">
        <f aca="false">IF(H51="","",IF(15&gt;IF(H54="",10,H54),"",H51*(1+IF(H52="",0,H52))^ROUNDDOWN((15-1)/IF(H53="",5,H53),0)))</f>
        <v/>
      </c>
      <c r="S99" s="75" t="str">
        <f aca="false">IF(R99="","",IF((IF(H61="",IF($D$33="",0,$D$33),H61))=0,0,MAX(0,1717608.15-(IF(H62&lt;&gt;"",H62,IF($D$35&lt;&gt;"",$D$35,IF((IF(H61="",IF($D$33="",0,$D$33),H61))=0,0,H51/(IF(H61="",IF($D$33="",0,$D$33),H61)))))))*(IF(H61="",IF($D$33="",0,$D$33),H61))))</f>
        <v/>
      </c>
      <c r="T99" s="75" t="str">
        <f aca="false">IF(R99="","",R99+S99)</f>
        <v/>
      </c>
    </row>
    <row r="100" customFormat="false" ht="15" hidden="false" customHeight="false" outlineLevel="0" collapsed="false">
      <c r="A100" s="74" t="n">
        <v>16</v>
      </c>
      <c r="B100" s="75" t="n">
        <v>1751960</v>
      </c>
      <c r="C100" s="76" t="n">
        <v>129067</v>
      </c>
      <c r="D100" s="76" t="n">
        <v>0</v>
      </c>
      <c r="E100" s="76" t="n">
        <v>129067</v>
      </c>
      <c r="F100" s="75" t="n">
        <f aca="false">IF(D51="","",IF(16&gt;IF(D54="",10,D54),"",D51*(1+IF(D52="",0,D52))^ROUNDDOWN((16-1)/IF(D53="",5,D53),0)))</f>
        <v>136966.932936</v>
      </c>
      <c r="G100" s="75" t="n">
        <f aca="false">IF(F100="","",IF((IF(D61="",IF($D$33="",0,$D$33),D61))=0,0,MAX(0,1751960.31-(IF(D62&lt;&gt;"",D62,IF($D$35&lt;&gt;"",$D$35,IF((IF(D61="",IF($D$33="",0,$D$33),D61))=0,0,D51/(IF(D61="",IF($D$33="",0,$D$33),D61)))))))*(IF(D61="",IF($D$33="",0,$D$33),D61))))</f>
        <v>0</v>
      </c>
      <c r="H100" s="75" t="n">
        <f aca="false">IF(F100="","",F100+G100)</f>
        <v>136966.932936</v>
      </c>
      <c r="I100" s="75" t="str">
        <f aca="false">IF(E51="","",IF(16&gt;IF(E54="",10,E54),"",E51*(1+IF(E52="",0,E52))^ROUNDDOWN((16-1)/IF(E53="",5,E53),0)))</f>
        <v/>
      </c>
      <c r="J100" s="75" t="str">
        <f aca="false">IF(I100="","",IF((IF(E61="",IF($D$33="",0,$D$33),E61))=0,0,MAX(0,1751960.31-(IF(E62&lt;&gt;"",E62,IF($D$35&lt;&gt;"",$D$35,IF((IF(E61="",IF($D$33="",0,$D$33),E61))=0,0,E51/(IF(E61="",IF($D$33="",0,$D$33),E61)))))))*(IF(E61="",IF($D$33="",0,$D$33),E61))))</f>
        <v/>
      </c>
      <c r="K100" s="75" t="str">
        <f aca="false">IF(I100="","",I100+J100)</f>
        <v/>
      </c>
      <c r="L100" s="75" t="str">
        <f aca="false">IF(F51="","",IF(16&gt;IF(F54="",10,F54),"",F51*(1+IF(F52="",0,F52))^ROUNDDOWN((16-1)/IF(F53="",5,F53),0)))</f>
        <v/>
      </c>
      <c r="M100" s="75" t="str">
        <f aca="false">IF(L100="","",IF((IF(F61="",IF($D$33="",0,$D$33),F61))=0,0,MAX(0,1751960.31-(IF(F62&lt;&gt;"",F62,IF($D$35&lt;&gt;"",$D$35,IF((IF(F61="",IF($D$33="",0,$D$33),F61))=0,0,F51/(IF(F61="",IF($D$33="",0,$D$33),F61)))))))*(IF(F61="",IF($D$33="",0,$D$33),F61))))</f>
        <v/>
      </c>
      <c r="N100" s="75" t="str">
        <f aca="false">IF(L100="","",L100+M100)</f>
        <v/>
      </c>
      <c r="O100" s="75" t="str">
        <f aca="false">IF(G51="","",IF(16&gt;IF(G54="",10,G54),"",G51*(1+IF(G52="",0,G52))^ROUNDDOWN((16-1)/IF(G53="",5,G53),0)))</f>
        <v/>
      </c>
      <c r="P100" s="75" t="str">
        <f aca="false">IF(O100="","",IF((IF(G61="",IF($D$33="",0,$D$33),G61))=0,0,MAX(0,1751960.31-(IF(G62&lt;&gt;"",G62,IF($D$35&lt;&gt;"",$D$35,IF((IF(G61="",IF($D$33="",0,$D$33),G61))=0,0,G51/(IF(G61="",IF($D$33="",0,$D$33),G61)))))))*(IF(G61="",IF($D$33="",0,$D$33),G61))))</f>
        <v/>
      </c>
      <c r="Q100" s="75" t="str">
        <f aca="false">IF(O100="","",O100+P100)</f>
        <v/>
      </c>
      <c r="R100" s="75" t="str">
        <f aca="false">IF(H51="","",IF(16&gt;IF(H54="",10,H54),"",H51*(1+IF(H52="",0,H52))^ROUNDDOWN((16-1)/IF(H53="",5,H53),0)))</f>
        <v/>
      </c>
      <c r="S100" s="75" t="str">
        <f aca="false">IF(R100="","",IF((IF(H61="",IF($D$33="",0,$D$33),H61))=0,0,MAX(0,1751960.31-(IF(H62&lt;&gt;"",H62,IF($D$35&lt;&gt;"",$D$35,IF((IF(H61="",IF($D$33="",0,$D$33),H61))=0,0,H51/(IF(H61="",IF($D$33="",0,$D$33),H61)))))))*(IF(H61="",IF($D$33="",0,$D$33),H61))))</f>
        <v/>
      </c>
      <c r="T100" s="75" t="str">
        <f aca="false">IF(R100="","",R100+S100)</f>
        <v/>
      </c>
    </row>
    <row r="101" customFormat="false" ht="15" hidden="false" customHeight="false" outlineLevel="0" collapsed="false">
      <c r="A101" s="74" t="n">
        <v>17</v>
      </c>
      <c r="B101" s="75" t="n">
        <v>1787000</v>
      </c>
      <c r="C101" s="76" t="n">
        <v>129067</v>
      </c>
      <c r="D101" s="76" t="n">
        <v>0</v>
      </c>
      <c r="E101" s="76" t="n">
        <v>129067</v>
      </c>
      <c r="F101" s="75" t="n">
        <f aca="false">IF(D51="","",IF(17&gt;IF(D54="",10,D54),"",D51*(1+IF(D52="",0,D52))^ROUNDDOWN((17-1)/IF(D53="",5,D53),0)))</f>
        <v>136966.932936</v>
      </c>
      <c r="G101" s="75" t="n">
        <f aca="false">IF(F101="","",IF((IF(D61="",IF($D$33="",0,$D$33),D61))=0,0,MAX(0,1786999.52-(IF(D62&lt;&gt;"",D62,IF($D$35&lt;&gt;"",$D$35,IF((IF(D61="",IF($D$33="",0,$D$33),D61))=0,0,D51/(IF(D61="",IF($D$33="",0,$D$33),D61)))))))*(IF(D61="",IF($D$33="",0,$D$33),D61))))</f>
        <v>0</v>
      </c>
      <c r="H101" s="75" t="n">
        <f aca="false">IF(F101="","",F101+G101)</f>
        <v>136966.932936</v>
      </c>
      <c r="I101" s="75" t="str">
        <f aca="false">IF(E51="","",IF(17&gt;IF(E54="",10,E54),"",E51*(1+IF(E52="",0,E52))^ROUNDDOWN((17-1)/IF(E53="",5,E53),0)))</f>
        <v/>
      </c>
      <c r="J101" s="75" t="str">
        <f aca="false">IF(I101="","",IF((IF(E61="",IF($D$33="",0,$D$33),E61))=0,0,MAX(0,1786999.52-(IF(E62&lt;&gt;"",E62,IF($D$35&lt;&gt;"",$D$35,IF((IF(E61="",IF($D$33="",0,$D$33),E61))=0,0,E51/(IF(E61="",IF($D$33="",0,$D$33),E61)))))))*(IF(E61="",IF($D$33="",0,$D$33),E61))))</f>
        <v/>
      </c>
      <c r="K101" s="75" t="str">
        <f aca="false">IF(I101="","",I101+J101)</f>
        <v/>
      </c>
      <c r="L101" s="75" t="str">
        <f aca="false">IF(F51="","",IF(17&gt;IF(F54="",10,F54),"",F51*(1+IF(F52="",0,F52))^ROUNDDOWN((17-1)/IF(F53="",5,F53),0)))</f>
        <v/>
      </c>
      <c r="M101" s="75" t="str">
        <f aca="false">IF(L101="","",IF((IF(F61="",IF($D$33="",0,$D$33),F61))=0,0,MAX(0,1786999.52-(IF(F62&lt;&gt;"",F62,IF($D$35&lt;&gt;"",$D$35,IF((IF(F61="",IF($D$33="",0,$D$33),F61))=0,0,F51/(IF(F61="",IF($D$33="",0,$D$33),F61)))))))*(IF(F61="",IF($D$33="",0,$D$33),F61))))</f>
        <v/>
      </c>
      <c r="N101" s="75" t="str">
        <f aca="false">IF(L101="","",L101+M101)</f>
        <v/>
      </c>
      <c r="O101" s="75" t="str">
        <f aca="false">IF(G51="","",IF(17&gt;IF(G54="",10,G54),"",G51*(1+IF(G52="",0,G52))^ROUNDDOWN((17-1)/IF(G53="",5,G53),0)))</f>
        <v/>
      </c>
      <c r="P101" s="75" t="str">
        <f aca="false">IF(O101="","",IF((IF(G61="",IF($D$33="",0,$D$33),G61))=0,0,MAX(0,1786999.52-(IF(G62&lt;&gt;"",G62,IF($D$35&lt;&gt;"",$D$35,IF((IF(G61="",IF($D$33="",0,$D$33),G61))=0,0,G51/(IF(G61="",IF($D$33="",0,$D$33),G61)))))))*(IF(G61="",IF($D$33="",0,$D$33),G61))))</f>
        <v/>
      </c>
      <c r="Q101" s="75" t="str">
        <f aca="false">IF(O101="","",O101+P101)</f>
        <v/>
      </c>
      <c r="R101" s="75" t="str">
        <f aca="false">IF(H51="","",IF(17&gt;IF(H54="",10,H54),"",H51*(1+IF(H52="",0,H52))^ROUNDDOWN((17-1)/IF(H53="",5,H53),0)))</f>
        <v/>
      </c>
      <c r="S101" s="75" t="str">
        <f aca="false">IF(R101="","",IF((IF(H61="",IF($D$33="",0,$D$33),H61))=0,0,MAX(0,1786999.52-(IF(H62&lt;&gt;"",H62,IF($D$35&lt;&gt;"",$D$35,IF((IF(H61="",IF($D$33="",0,$D$33),H61))=0,0,H51/(IF(H61="",IF($D$33="",0,$D$33),H61)))))))*(IF(H61="",IF($D$33="",0,$D$33),H61))))</f>
        <v/>
      </c>
      <c r="T101" s="75" t="str">
        <f aca="false">IF(R101="","",R101+S101)</f>
        <v/>
      </c>
    </row>
    <row r="102" customFormat="false" ht="15" hidden="false" customHeight="false" outlineLevel="0" collapsed="false">
      <c r="A102" s="74" t="n">
        <v>18</v>
      </c>
      <c r="B102" s="75" t="n">
        <v>1822740</v>
      </c>
      <c r="C102" s="76" t="n">
        <v>129067</v>
      </c>
      <c r="D102" s="76" t="n">
        <v>0</v>
      </c>
      <c r="E102" s="76" t="n">
        <v>129067</v>
      </c>
      <c r="F102" s="75" t="n">
        <f aca="false">IF(D51="","",IF(18&gt;IF(D54="",10,D54),"",D51*(1+IF(D52="",0,D52))^ROUNDDOWN((18-1)/IF(D53="",5,D53),0)))</f>
        <v>136966.932936</v>
      </c>
      <c r="G102" s="75" t="n">
        <f aca="false">IF(F102="","",IF((IF(D61="",IF($D$33="",0,$D$33),D61))=0,0,MAX(0,1822739.51-(IF(D62&lt;&gt;"",D62,IF($D$35&lt;&gt;"",$D$35,IF((IF(D61="",IF($D$33="",0,$D$33),D61))=0,0,D51/(IF(D61="",IF($D$33="",0,$D$33),D61)))))))*(IF(D61="",IF($D$33="",0,$D$33),D61))))</f>
        <v>0</v>
      </c>
      <c r="H102" s="75" t="n">
        <f aca="false">IF(F102="","",F102+G102)</f>
        <v>136966.932936</v>
      </c>
      <c r="I102" s="75" t="str">
        <f aca="false">IF(E51="","",IF(18&gt;IF(E54="",10,E54),"",E51*(1+IF(E52="",0,E52))^ROUNDDOWN((18-1)/IF(E53="",5,E53),0)))</f>
        <v/>
      </c>
      <c r="J102" s="75" t="str">
        <f aca="false">IF(I102="","",IF((IF(E61="",IF($D$33="",0,$D$33),E61))=0,0,MAX(0,1822739.51-(IF(E62&lt;&gt;"",E62,IF($D$35&lt;&gt;"",$D$35,IF((IF(E61="",IF($D$33="",0,$D$33),E61))=0,0,E51/(IF(E61="",IF($D$33="",0,$D$33),E61)))))))*(IF(E61="",IF($D$33="",0,$D$33),E61))))</f>
        <v/>
      </c>
      <c r="K102" s="75" t="str">
        <f aca="false">IF(I102="","",I102+J102)</f>
        <v/>
      </c>
      <c r="L102" s="75" t="str">
        <f aca="false">IF(F51="","",IF(18&gt;IF(F54="",10,F54),"",F51*(1+IF(F52="",0,F52))^ROUNDDOWN((18-1)/IF(F53="",5,F53),0)))</f>
        <v/>
      </c>
      <c r="M102" s="75" t="str">
        <f aca="false">IF(L102="","",IF((IF(F61="",IF($D$33="",0,$D$33),F61))=0,0,MAX(0,1822739.51-(IF(F62&lt;&gt;"",F62,IF($D$35&lt;&gt;"",$D$35,IF((IF(F61="",IF($D$33="",0,$D$33),F61))=0,0,F51/(IF(F61="",IF($D$33="",0,$D$33),F61)))))))*(IF(F61="",IF($D$33="",0,$D$33),F61))))</f>
        <v/>
      </c>
      <c r="N102" s="75" t="str">
        <f aca="false">IF(L102="","",L102+M102)</f>
        <v/>
      </c>
      <c r="O102" s="75" t="str">
        <f aca="false">IF(G51="","",IF(18&gt;IF(G54="",10,G54),"",G51*(1+IF(G52="",0,G52))^ROUNDDOWN((18-1)/IF(G53="",5,G53),0)))</f>
        <v/>
      </c>
      <c r="P102" s="75" t="str">
        <f aca="false">IF(O102="","",IF((IF(G61="",IF($D$33="",0,$D$33),G61))=0,0,MAX(0,1822739.51-(IF(G62&lt;&gt;"",G62,IF($D$35&lt;&gt;"",$D$35,IF((IF(G61="",IF($D$33="",0,$D$33),G61))=0,0,G51/(IF(G61="",IF($D$33="",0,$D$33),G61)))))))*(IF(G61="",IF($D$33="",0,$D$33),G61))))</f>
        <v/>
      </c>
      <c r="Q102" s="75" t="str">
        <f aca="false">IF(O102="","",O102+P102)</f>
        <v/>
      </c>
      <c r="R102" s="75" t="str">
        <f aca="false">IF(H51="","",IF(18&gt;IF(H54="",10,H54),"",H51*(1+IF(H52="",0,H52))^ROUNDDOWN((18-1)/IF(H53="",5,H53),0)))</f>
        <v/>
      </c>
      <c r="S102" s="75" t="str">
        <f aca="false">IF(R102="","",IF((IF(H61="",IF($D$33="",0,$D$33),H61))=0,0,MAX(0,1822739.51-(IF(H62&lt;&gt;"",H62,IF($D$35&lt;&gt;"",$D$35,IF((IF(H61="",IF($D$33="",0,$D$33),H61))=0,0,H51/(IF(H61="",IF($D$33="",0,$D$33),H61)))))))*(IF(H61="",IF($D$33="",0,$D$33),H61))))</f>
        <v/>
      </c>
      <c r="T102" s="75" t="str">
        <f aca="false">IF(R102="","",R102+S102)</f>
        <v/>
      </c>
    </row>
    <row r="103" customFormat="false" ht="15" hidden="false" customHeight="false" outlineLevel="0" collapsed="false">
      <c r="A103" s="74" t="n">
        <v>19</v>
      </c>
      <c r="B103" s="75" t="n">
        <v>1859194</v>
      </c>
      <c r="C103" s="76" t="n">
        <v>129067</v>
      </c>
      <c r="D103" s="76" t="n">
        <v>0</v>
      </c>
      <c r="E103" s="76" t="n">
        <v>129067</v>
      </c>
      <c r="F103" s="75" t="n">
        <f aca="false">IF(D51="","",IF(19&gt;IF(D54="",10,D54),"",D51*(1+IF(D52="",0,D52))^ROUNDDOWN((19-1)/IF(D53="",5,D53),0)))</f>
        <v>136966.932936</v>
      </c>
      <c r="G103" s="75" t="n">
        <f aca="false">IF(F103="","",IF((IF(D61="",IF($D$33="",0,$D$33),D61))=0,0,MAX(0,1859194.3-(IF(D62&lt;&gt;"",D62,IF($D$35&lt;&gt;"",$D$35,IF((IF(D61="",IF($D$33="",0,$D$33),D61))=0,0,D51/(IF(D61="",IF($D$33="",0,$D$33),D61)))))))*(IF(D61="",IF($D$33="",0,$D$33),D61))))</f>
        <v>0</v>
      </c>
      <c r="H103" s="75" t="n">
        <f aca="false">IF(F103="","",F103+G103)</f>
        <v>136966.932936</v>
      </c>
      <c r="I103" s="75" t="str">
        <f aca="false">IF(E51="","",IF(19&gt;IF(E54="",10,E54),"",E51*(1+IF(E52="",0,E52))^ROUNDDOWN((19-1)/IF(E53="",5,E53),0)))</f>
        <v/>
      </c>
      <c r="J103" s="75" t="str">
        <f aca="false">IF(I103="","",IF((IF(E61="",IF($D$33="",0,$D$33),E61))=0,0,MAX(0,1859194.3-(IF(E62&lt;&gt;"",E62,IF($D$35&lt;&gt;"",$D$35,IF((IF(E61="",IF($D$33="",0,$D$33),E61))=0,0,E51/(IF(E61="",IF($D$33="",0,$D$33),E61)))))))*(IF(E61="",IF($D$33="",0,$D$33),E61))))</f>
        <v/>
      </c>
      <c r="K103" s="75" t="str">
        <f aca="false">IF(I103="","",I103+J103)</f>
        <v/>
      </c>
      <c r="L103" s="75" t="str">
        <f aca="false">IF(F51="","",IF(19&gt;IF(F54="",10,F54),"",F51*(1+IF(F52="",0,F52))^ROUNDDOWN((19-1)/IF(F53="",5,F53),0)))</f>
        <v/>
      </c>
      <c r="M103" s="75" t="str">
        <f aca="false">IF(L103="","",IF((IF(F61="",IF($D$33="",0,$D$33),F61))=0,0,MAX(0,1859194.3-(IF(F62&lt;&gt;"",F62,IF($D$35&lt;&gt;"",$D$35,IF((IF(F61="",IF($D$33="",0,$D$33),F61))=0,0,F51/(IF(F61="",IF($D$33="",0,$D$33),F61)))))))*(IF(F61="",IF($D$33="",0,$D$33),F61))))</f>
        <v/>
      </c>
      <c r="N103" s="75" t="str">
        <f aca="false">IF(L103="","",L103+M103)</f>
        <v/>
      </c>
      <c r="O103" s="75" t="str">
        <f aca="false">IF(G51="","",IF(19&gt;IF(G54="",10,G54),"",G51*(1+IF(G52="",0,G52))^ROUNDDOWN((19-1)/IF(G53="",5,G53),0)))</f>
        <v/>
      </c>
      <c r="P103" s="75" t="str">
        <f aca="false">IF(O103="","",IF((IF(G61="",IF($D$33="",0,$D$33),G61))=0,0,MAX(0,1859194.3-(IF(G62&lt;&gt;"",G62,IF($D$35&lt;&gt;"",$D$35,IF((IF(G61="",IF($D$33="",0,$D$33),G61))=0,0,G51/(IF(G61="",IF($D$33="",0,$D$33),G61)))))))*(IF(G61="",IF($D$33="",0,$D$33),G61))))</f>
        <v/>
      </c>
      <c r="Q103" s="75" t="str">
        <f aca="false">IF(O103="","",O103+P103)</f>
        <v/>
      </c>
      <c r="R103" s="75" t="str">
        <f aca="false">IF(H51="","",IF(19&gt;IF(H54="",10,H54),"",H51*(1+IF(H52="",0,H52))^ROUNDDOWN((19-1)/IF(H53="",5,H53),0)))</f>
        <v/>
      </c>
      <c r="S103" s="75" t="str">
        <f aca="false">IF(R103="","",IF((IF(H61="",IF($D$33="",0,$D$33),H61))=0,0,MAX(0,1859194.3-(IF(H62&lt;&gt;"",H62,IF($D$35&lt;&gt;"",$D$35,IF((IF(H61="",IF($D$33="",0,$D$33),H61))=0,0,H51/(IF(H61="",IF($D$33="",0,$D$33),H61)))))))*(IF(H61="",IF($D$33="",0,$D$33),H61))))</f>
        <v/>
      </c>
      <c r="T103" s="75" t="str">
        <f aca="false">IF(R103="","",R103+S103)</f>
        <v/>
      </c>
    </row>
    <row r="104" customFormat="false" ht="15" hidden="false" customHeight="false" outlineLevel="0" collapsed="false">
      <c r="A104" s="74" t="n">
        <v>20</v>
      </c>
      <c r="B104" s="75" t="n">
        <v>1896378</v>
      </c>
      <c r="C104" s="76" t="n">
        <v>129067</v>
      </c>
      <c r="D104" s="76" t="n">
        <v>0</v>
      </c>
      <c r="E104" s="76" t="n">
        <v>129067</v>
      </c>
      <c r="F104" s="75" t="n">
        <f aca="false">IF(D51="","",IF(20&gt;IF(D54="",10,D54),"",D51*(1+IF(D52="",0,D52))^ROUNDDOWN((20-1)/IF(D53="",5,D53),0)))</f>
        <v>136966.932936</v>
      </c>
      <c r="G104" s="75" t="n">
        <f aca="false">IF(F104="","",IF((IF(D61="",IF($D$33="",0,$D$33),D61))=0,0,MAX(0,1896378.19-(IF(D62&lt;&gt;"",D62,IF($D$35&lt;&gt;"",$D$35,IF((IF(D61="",IF($D$33="",0,$D$33),D61))=0,0,D51/(IF(D61="",IF($D$33="",0,$D$33),D61)))))))*(IF(D61="",IF($D$33="",0,$D$33),D61))))</f>
        <v>0</v>
      </c>
      <c r="H104" s="75" t="n">
        <f aca="false">IF(F104="","",F104+G104)</f>
        <v>136966.932936</v>
      </c>
      <c r="I104" s="75" t="str">
        <f aca="false">IF(E51="","",IF(20&gt;IF(E54="",10,E54),"",E51*(1+IF(E52="",0,E52))^ROUNDDOWN((20-1)/IF(E53="",5,E53),0)))</f>
        <v/>
      </c>
      <c r="J104" s="75" t="str">
        <f aca="false">IF(I104="","",IF((IF(E61="",IF($D$33="",0,$D$33),E61))=0,0,MAX(0,1896378.19-(IF(E62&lt;&gt;"",E62,IF($D$35&lt;&gt;"",$D$35,IF((IF(E61="",IF($D$33="",0,$D$33),E61))=0,0,E51/(IF(E61="",IF($D$33="",0,$D$33),E61)))))))*(IF(E61="",IF($D$33="",0,$D$33),E61))))</f>
        <v/>
      </c>
      <c r="K104" s="75" t="str">
        <f aca="false">IF(I104="","",I104+J104)</f>
        <v/>
      </c>
      <c r="L104" s="75" t="str">
        <f aca="false">IF(F51="","",IF(20&gt;IF(F54="",10,F54),"",F51*(1+IF(F52="",0,F52))^ROUNDDOWN((20-1)/IF(F53="",5,F53),0)))</f>
        <v/>
      </c>
      <c r="M104" s="75" t="str">
        <f aca="false">IF(L104="","",IF((IF(F61="",IF($D$33="",0,$D$33),F61))=0,0,MAX(0,1896378.19-(IF(F62&lt;&gt;"",F62,IF($D$35&lt;&gt;"",$D$35,IF((IF(F61="",IF($D$33="",0,$D$33),F61))=0,0,F51/(IF(F61="",IF($D$33="",0,$D$33),F61)))))))*(IF(F61="",IF($D$33="",0,$D$33),F61))))</f>
        <v/>
      </c>
      <c r="N104" s="75" t="str">
        <f aca="false">IF(L104="","",L104+M104)</f>
        <v/>
      </c>
      <c r="O104" s="75" t="str">
        <f aca="false">IF(G51="","",IF(20&gt;IF(G54="",10,G54),"",G51*(1+IF(G52="",0,G52))^ROUNDDOWN((20-1)/IF(G53="",5,G53),0)))</f>
        <v/>
      </c>
      <c r="P104" s="75" t="str">
        <f aca="false">IF(O104="","",IF((IF(G61="",IF($D$33="",0,$D$33),G61))=0,0,MAX(0,1896378.19-(IF(G62&lt;&gt;"",G62,IF($D$35&lt;&gt;"",$D$35,IF((IF(G61="",IF($D$33="",0,$D$33),G61))=0,0,G51/(IF(G61="",IF($D$33="",0,$D$33),G61)))))))*(IF(G61="",IF($D$33="",0,$D$33),G61))))</f>
        <v/>
      </c>
      <c r="Q104" s="75" t="str">
        <f aca="false">IF(O104="","",O104+P104)</f>
        <v/>
      </c>
      <c r="R104" s="75" t="str">
        <f aca="false">IF(H51="","",IF(20&gt;IF(H54="",10,H54),"",H51*(1+IF(H52="",0,H52))^ROUNDDOWN((20-1)/IF(H53="",5,H53),0)))</f>
        <v/>
      </c>
      <c r="S104" s="75" t="str">
        <f aca="false">IF(R104="","",IF((IF(H61="",IF($D$33="",0,$D$33),H61))=0,0,MAX(0,1896378.19-(IF(H62&lt;&gt;"",H62,IF($D$35&lt;&gt;"",$D$35,IF((IF(H61="",IF($D$33="",0,$D$33),H61))=0,0,H51/(IF(H61="",IF($D$33="",0,$D$33),H61)))))))*(IF(H61="",IF($D$33="",0,$D$33),H61))))</f>
        <v/>
      </c>
      <c r="T104" s="75" t="str">
        <f aca="false">IF(R104="","",R104+S104)</f>
        <v/>
      </c>
    </row>
    <row r="105" customFormat="false" ht="15" hidden="false" customHeight="false" outlineLevel="0" collapsed="false">
      <c r="A105" s="77" t="s">
        <v>394</v>
      </c>
      <c r="C105" s="78" t="n">
        <f aca="false">IF(COUNT(C85:C104)=0,"",SUM(C85:C104))</f>
        <v>2581340</v>
      </c>
      <c r="D105" s="78" t="n">
        <f aca="false">IF(COUNT(D85:D104)=0,"",SUM(D85:D104))</f>
        <v>0</v>
      </c>
      <c r="E105" s="78" t="n">
        <f aca="false">IF(COUNT(E85:E104)=0,"",SUM(E85:E104))</f>
        <v>2581340</v>
      </c>
      <c r="F105" s="78" t="n">
        <f aca="false">IF(COUNT(F85:F104)=0,"",SUM(F85:F104))</f>
        <v>2659817.89868</v>
      </c>
      <c r="G105" s="78" t="n">
        <f aca="false">IF(COUNT(G85:G104)=0,"",SUM(G85:G104))</f>
        <v>0</v>
      </c>
      <c r="H105" s="78" t="n">
        <f aca="false">IF(COUNT(H85:H104)=0,"",SUM(H85:H104))</f>
        <v>2659817.89868</v>
      </c>
      <c r="I105" s="78" t="str">
        <f aca="false">IF(COUNT(I85:I104)=0,"",SUM(I85:I104))</f>
        <v/>
      </c>
      <c r="J105" s="78" t="str">
        <f aca="false">IF(COUNT(J85:J104)=0,"",SUM(J85:J104))</f>
        <v/>
      </c>
      <c r="K105" s="78" t="str">
        <f aca="false">IF(COUNT(K85:K104)=0,"",SUM(K85:K104))</f>
        <v/>
      </c>
      <c r="L105" s="78" t="str">
        <f aca="false">IF(COUNT(L85:L104)=0,"",SUM(L85:L104))</f>
        <v/>
      </c>
      <c r="M105" s="78" t="str">
        <f aca="false">IF(COUNT(M85:M104)=0,"",SUM(M85:M104))</f>
        <v/>
      </c>
      <c r="N105" s="78" t="str">
        <f aca="false">IF(COUNT(N85:N104)=0,"",SUM(N85:N104))</f>
        <v/>
      </c>
      <c r="O105" s="78" t="str">
        <f aca="false">IF(COUNT(O85:O104)=0,"",SUM(O85:O104))</f>
        <v/>
      </c>
      <c r="P105" s="78" t="str">
        <f aca="false">IF(COUNT(P85:P104)=0,"",SUM(P85:P104))</f>
        <v/>
      </c>
      <c r="Q105" s="78" t="str">
        <f aca="false">IF(COUNT(Q85:Q104)=0,"",SUM(Q85:Q104))</f>
        <v/>
      </c>
      <c r="R105" s="78" t="str">
        <f aca="false">IF(COUNT(R85:R104)=0,"",SUM(R85:R104))</f>
        <v/>
      </c>
      <c r="S105" s="78" t="str">
        <f aca="false">IF(COUNT(S85:S104)=0,"",SUM(S85:S104))</f>
        <v/>
      </c>
      <c r="T105" s="78" t="str">
        <f aca="false">IF(COUNT(T85:T104)=0,"",SUM(T85:T104))</f>
        <v/>
      </c>
    </row>
    <row r="106" customFormat="false" ht="15" hidden="false" customHeight="false" outlineLevel="0" collapsed="false">
      <c r="A106" s="69" t="s">
        <v>395</v>
      </c>
      <c r="B106" s="69"/>
      <c r="C106" s="69"/>
      <c r="D106" s="69"/>
      <c r="E106" s="69"/>
      <c r="F106" s="69"/>
      <c r="G106" s="69"/>
      <c r="H106" s="69"/>
      <c r="I106" s="69"/>
      <c r="J106" s="69"/>
      <c r="K106" s="69"/>
      <c r="L106" s="69"/>
      <c r="M106" s="69"/>
      <c r="N106" s="69"/>
      <c r="O106" s="69"/>
      <c r="P106" s="69"/>
      <c r="Q106" s="69"/>
      <c r="R106" s="69"/>
      <c r="S106" s="69"/>
      <c r="T106" s="69"/>
    </row>
  </sheetData>
  <mergeCells count="81">
    <mergeCell ref="A2:J2"/>
    <mergeCell ref="A3:J3"/>
    <mergeCell ref="A4:J4"/>
    <mergeCell ref="A5:J5"/>
    <mergeCell ref="A6:J6"/>
    <mergeCell ref="A7:J7"/>
    <mergeCell ref="A8:J8"/>
    <mergeCell ref="A10:C10"/>
    <mergeCell ref="D10:J10"/>
    <mergeCell ref="A11:C11"/>
    <mergeCell ref="D11:J11"/>
    <mergeCell ref="A12:C12"/>
    <mergeCell ref="D12:J12"/>
    <mergeCell ref="A13:C13"/>
    <mergeCell ref="D13:J13"/>
    <mergeCell ref="A14:C14"/>
    <mergeCell ref="D14:J14"/>
    <mergeCell ref="G17:J17"/>
    <mergeCell ref="G18:J18"/>
    <mergeCell ref="A19:D19"/>
    <mergeCell ref="A20:J20"/>
    <mergeCell ref="A23:C23"/>
    <mergeCell ref="A24:C24"/>
    <mergeCell ref="E24:J24"/>
    <mergeCell ref="A25:C25"/>
    <mergeCell ref="E25:J25"/>
    <mergeCell ref="A26:C26"/>
    <mergeCell ref="A27:C27"/>
    <mergeCell ref="A28:C28"/>
    <mergeCell ref="E28:J28"/>
    <mergeCell ref="A29:J29"/>
    <mergeCell ref="A30:J30"/>
    <mergeCell ref="A33:C33"/>
    <mergeCell ref="E33:J33"/>
    <mergeCell ref="A34:C34"/>
    <mergeCell ref="E34:J34"/>
    <mergeCell ref="A35:C35"/>
    <mergeCell ref="E35:J35"/>
    <mergeCell ref="A36:C36"/>
    <mergeCell ref="E36:J36"/>
    <mergeCell ref="A37:C37"/>
    <mergeCell ref="A38:C38"/>
    <mergeCell ref="A39:C39"/>
    <mergeCell ref="A40:C40"/>
    <mergeCell ref="A46:G46"/>
    <mergeCell ref="A49:C49"/>
    <mergeCell ref="A50:C50"/>
    <mergeCell ref="A51:C51"/>
    <mergeCell ref="A52:C52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2:C62"/>
    <mergeCell ref="A63:C63"/>
    <mergeCell ref="A64:C64"/>
    <mergeCell ref="A65:C65"/>
    <mergeCell ref="A66:C66"/>
    <mergeCell ref="A67:C67"/>
    <mergeCell ref="A68:C68"/>
    <mergeCell ref="A69:C69"/>
    <mergeCell ref="A70:C70"/>
    <mergeCell ref="A71:C71"/>
    <mergeCell ref="A72:C72"/>
    <mergeCell ref="A73:C73"/>
    <mergeCell ref="A74:C74"/>
    <mergeCell ref="A76:J76"/>
    <mergeCell ref="A78:J78"/>
    <mergeCell ref="A82:T82"/>
    <mergeCell ref="C83:E83"/>
    <mergeCell ref="F83:H83"/>
    <mergeCell ref="I83:K83"/>
    <mergeCell ref="L83:N83"/>
    <mergeCell ref="O83:Q83"/>
    <mergeCell ref="R83:T83"/>
    <mergeCell ref="A106:T106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T11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6"/>
    <col collapsed="false" customWidth="true" hidden="false" outlineLevel="0" max="2" min="2" style="0" width="22"/>
    <col collapsed="false" customWidth="true" hidden="false" outlineLevel="0" max="3" min="3" style="0" width="11"/>
    <col collapsed="false" customWidth="true" hidden="false" outlineLevel="0" max="4" min="4" style="0" width="14"/>
    <col collapsed="false" customWidth="true" hidden="false" outlineLevel="0" max="6" min="5" style="0" width="12"/>
    <col collapsed="false" customWidth="true" hidden="false" outlineLevel="0" max="7" min="7" style="0" width="14"/>
    <col collapsed="false" customWidth="true" hidden="false" outlineLevel="0" max="9" min="8" style="0" width="13"/>
    <col collapsed="false" customWidth="true" hidden="false" outlineLevel="0" max="10" min="10" style="0" width="26"/>
  </cols>
  <sheetData>
    <row r="1" customFormat="false" ht="16.15" hidden="false" customHeight="false" outlineLevel="0" collapsed="false">
      <c r="A1" s="3" t="s">
        <v>686</v>
      </c>
    </row>
    <row r="2" customFormat="false" ht="25.5" hidden="false" customHeight="true" outlineLevel="0" collapsed="false">
      <c r="A2" s="12" t="s">
        <v>251</v>
      </c>
      <c r="B2" s="12"/>
      <c r="C2" s="12"/>
      <c r="D2" s="12"/>
      <c r="E2" s="12"/>
      <c r="F2" s="12"/>
      <c r="G2" s="12"/>
      <c r="H2" s="12"/>
      <c r="I2" s="12"/>
      <c r="J2" s="12"/>
    </row>
    <row r="3" customFormat="false" ht="15" hidden="false" customHeight="true" outlineLevel="0" collapsed="false">
      <c r="A3" s="16" t="s">
        <v>687</v>
      </c>
      <c r="B3" s="16"/>
      <c r="C3" s="16"/>
      <c r="D3" s="16"/>
      <c r="E3" s="16"/>
      <c r="F3" s="16"/>
      <c r="G3" s="16"/>
      <c r="H3" s="16"/>
      <c r="I3" s="16"/>
      <c r="J3" s="16"/>
    </row>
    <row r="4" customFormat="false" ht="30" hidden="false" customHeight="true" outlineLevel="0" collapsed="false">
      <c r="A4" s="17" t="s">
        <v>69</v>
      </c>
      <c r="B4" s="17"/>
      <c r="C4" s="17"/>
      <c r="D4" s="17"/>
      <c r="E4" s="17"/>
      <c r="F4" s="17"/>
      <c r="G4" s="17"/>
      <c r="H4" s="17"/>
      <c r="I4" s="17"/>
      <c r="J4" s="17"/>
    </row>
    <row r="5" customFormat="false" ht="15" hidden="false" customHeight="true" outlineLevel="0" collapsed="false">
      <c r="A5" s="18" t="s">
        <v>17</v>
      </c>
      <c r="B5" s="18"/>
      <c r="C5" s="18"/>
      <c r="D5" s="18"/>
      <c r="E5" s="18"/>
      <c r="F5" s="18"/>
      <c r="G5" s="18"/>
      <c r="H5" s="18"/>
      <c r="I5" s="18"/>
      <c r="J5" s="18"/>
    </row>
    <row r="6" customFormat="false" ht="15" hidden="false" customHeight="true" outlineLevel="0" collapsed="false">
      <c r="A6" s="19" t="s">
        <v>70</v>
      </c>
      <c r="B6" s="19"/>
      <c r="C6" s="19"/>
      <c r="D6" s="19"/>
      <c r="E6" s="19"/>
      <c r="F6" s="19"/>
      <c r="G6" s="19"/>
      <c r="H6" s="19"/>
      <c r="I6" s="19"/>
      <c r="J6" s="19"/>
    </row>
    <row r="7" customFormat="false" ht="23.85" hidden="false" customHeight="true" outlineLevel="0" collapsed="false">
      <c r="A7" s="20" t="s">
        <v>688</v>
      </c>
      <c r="B7" s="20"/>
      <c r="C7" s="20"/>
      <c r="D7" s="20"/>
      <c r="E7" s="20"/>
      <c r="F7" s="20"/>
      <c r="G7" s="20"/>
      <c r="H7" s="20"/>
      <c r="I7" s="20"/>
      <c r="J7" s="20"/>
    </row>
    <row r="8" customFormat="false" ht="15" hidden="false" customHeight="true" outlineLevel="0" collapsed="false">
      <c r="A8" s="21" t="s">
        <v>254</v>
      </c>
      <c r="B8" s="21"/>
      <c r="C8" s="21"/>
      <c r="D8" s="21"/>
      <c r="E8" s="21"/>
      <c r="F8" s="21"/>
      <c r="G8" s="21"/>
      <c r="H8" s="21"/>
      <c r="I8" s="21"/>
      <c r="J8" s="21"/>
    </row>
    <row r="10" customFormat="false" ht="15" hidden="false" customHeight="true" outlineLevel="0" collapsed="false">
      <c r="A10" s="22" t="s">
        <v>255</v>
      </c>
      <c r="B10" s="22"/>
      <c r="C10" s="22"/>
      <c r="D10" s="23" t="s">
        <v>689</v>
      </c>
      <c r="E10" s="23"/>
      <c r="F10" s="23"/>
      <c r="G10" s="23"/>
      <c r="H10" s="23"/>
      <c r="I10" s="23"/>
      <c r="J10" s="23"/>
    </row>
    <row r="11" customFormat="false" ht="15" hidden="false" customHeight="true" outlineLevel="0" collapsed="false">
      <c r="A11" s="22" t="s">
        <v>257</v>
      </c>
      <c r="B11" s="22"/>
      <c r="C11" s="22"/>
      <c r="D11" s="23" t="s">
        <v>690</v>
      </c>
      <c r="E11" s="23"/>
      <c r="F11" s="23"/>
      <c r="G11" s="23"/>
      <c r="H11" s="23"/>
      <c r="I11" s="23"/>
      <c r="J11" s="23"/>
    </row>
    <row r="12" customFormat="false" ht="15" hidden="false" customHeight="true" outlineLevel="0" collapsed="false">
      <c r="A12" s="22" t="s">
        <v>259</v>
      </c>
      <c r="B12" s="22"/>
      <c r="C12" s="22"/>
      <c r="D12" s="86"/>
      <c r="E12" s="86"/>
      <c r="F12" s="86"/>
      <c r="G12" s="86"/>
      <c r="H12" s="86"/>
      <c r="I12" s="86"/>
      <c r="J12" s="86"/>
    </row>
    <row r="13" customFormat="false" ht="15" hidden="false" customHeight="true" outlineLevel="0" collapsed="false">
      <c r="A13" s="22" t="s">
        <v>261</v>
      </c>
      <c r="B13" s="22"/>
      <c r="C13" s="22"/>
      <c r="D13" s="24" t="n">
        <v>2540000</v>
      </c>
      <c r="E13" s="24"/>
      <c r="F13" s="24"/>
      <c r="G13" s="24"/>
      <c r="H13" s="24"/>
      <c r="I13" s="24"/>
      <c r="J13" s="24"/>
    </row>
    <row r="14" customFormat="false" ht="35.05" hidden="false" customHeight="true" outlineLevel="0" collapsed="false">
      <c r="A14" s="22" t="s">
        <v>262</v>
      </c>
      <c r="B14" s="22"/>
      <c r="C14" s="22"/>
      <c r="D14" s="22" t="s">
        <v>691</v>
      </c>
      <c r="E14" s="22"/>
      <c r="F14" s="22"/>
      <c r="G14" s="22"/>
      <c r="H14" s="22"/>
      <c r="I14" s="22"/>
      <c r="J14" s="22"/>
    </row>
    <row r="16" customFormat="false" ht="15" hidden="false" customHeight="false" outlineLevel="0" collapsed="false">
      <c r="A16" s="25" t="s">
        <v>264</v>
      </c>
    </row>
    <row r="17" customFormat="false" ht="22.35" hidden="false" customHeight="true" outlineLevel="0" collapsed="false">
      <c r="A17" s="26" t="s">
        <v>265</v>
      </c>
      <c r="B17" s="26" t="s">
        <v>266</v>
      </c>
      <c r="C17" s="26" t="s">
        <v>267</v>
      </c>
      <c r="D17" s="26" t="s">
        <v>268</v>
      </c>
      <c r="E17" s="26" t="s">
        <v>269</v>
      </c>
      <c r="F17" s="26" t="s">
        <v>270</v>
      </c>
      <c r="G17" s="26" t="s">
        <v>271</v>
      </c>
      <c r="H17" s="26"/>
      <c r="I17" s="26"/>
      <c r="J17" s="26"/>
    </row>
    <row r="18" customFormat="false" ht="23.85" hidden="false" customHeight="true" outlineLevel="0" collapsed="false">
      <c r="A18" s="27" t="s">
        <v>692</v>
      </c>
      <c r="B18" s="28" t="s">
        <v>693</v>
      </c>
      <c r="C18" s="28" t="s">
        <v>694</v>
      </c>
      <c r="D18" s="29" t="n">
        <v>4628.38</v>
      </c>
      <c r="E18" s="30" t="n">
        <f aca="false">IF(D18="","",D18*12)</f>
        <v>55540.56</v>
      </c>
      <c r="F18" s="31" t="n">
        <v>1.7</v>
      </c>
      <c r="G18" s="32" t="s">
        <v>695</v>
      </c>
      <c r="H18" s="32"/>
      <c r="I18" s="32"/>
      <c r="J18" s="32"/>
    </row>
    <row r="19" customFormat="false" ht="23.85" hidden="false" customHeight="true" outlineLevel="0" collapsed="false">
      <c r="A19" s="27" t="s">
        <v>696</v>
      </c>
      <c r="B19" s="28" t="s">
        <v>697</v>
      </c>
      <c r="C19" s="28" t="s">
        <v>698</v>
      </c>
      <c r="D19" s="80" t="n">
        <v>4998.65</v>
      </c>
      <c r="E19" s="30" t="n">
        <f aca="false">IF(D19="","",D19*12)</f>
        <v>59983.8</v>
      </c>
      <c r="F19" s="31" t="n">
        <v>5</v>
      </c>
      <c r="G19" s="32" t="s">
        <v>699</v>
      </c>
      <c r="H19" s="32"/>
      <c r="I19" s="32"/>
      <c r="J19" s="32"/>
    </row>
    <row r="20" customFormat="false" ht="23.85" hidden="false" customHeight="true" outlineLevel="0" collapsed="false">
      <c r="A20" s="27" t="s">
        <v>700</v>
      </c>
      <c r="B20" s="28" t="s">
        <v>701</v>
      </c>
      <c r="C20" s="28" t="s">
        <v>702</v>
      </c>
      <c r="D20" s="80" t="n">
        <v>5398.54</v>
      </c>
      <c r="E20" s="30" t="n">
        <f aca="false">IF(D20="","",D20*12)</f>
        <v>64782.48</v>
      </c>
      <c r="F20" s="31" t="n">
        <v>3.3</v>
      </c>
      <c r="G20" s="32" t="s">
        <v>703</v>
      </c>
      <c r="H20" s="32"/>
      <c r="I20" s="32"/>
      <c r="J20" s="32"/>
    </row>
    <row r="21" customFormat="false" ht="15" hidden="false" customHeight="false" outlineLevel="0" collapsed="false">
      <c r="A21" s="34" t="s">
        <v>284</v>
      </c>
      <c r="B21" s="34"/>
      <c r="C21" s="34"/>
      <c r="D21" s="34"/>
      <c r="E21" s="35" t="n">
        <f aca="false">IF(SUMPRODUCT(E18:E20,F18:F20)=0,"",SUMPRODUCT(E18:E20,F18:F20))</f>
        <v>608120.136</v>
      </c>
      <c r="F21" s="36"/>
      <c r="G21" s="36"/>
      <c r="H21" s="36"/>
      <c r="I21" s="36"/>
      <c r="J21" s="36"/>
    </row>
    <row r="22" customFormat="false" ht="15" hidden="false" customHeight="false" outlineLevel="0" collapsed="false">
      <c r="A22" s="81" t="s">
        <v>633</v>
      </c>
      <c r="B22" s="81"/>
      <c r="C22" s="81"/>
      <c r="D22" s="81"/>
      <c r="E22" s="81"/>
      <c r="F22" s="81"/>
      <c r="G22" s="81"/>
      <c r="H22" s="81"/>
      <c r="I22" s="81"/>
      <c r="J22" s="81"/>
    </row>
    <row r="24" customFormat="false" ht="15" hidden="false" customHeight="false" outlineLevel="0" collapsed="false">
      <c r="A24" s="25" t="s">
        <v>286</v>
      </c>
    </row>
    <row r="25" customFormat="false" ht="15" hidden="false" customHeight="true" outlineLevel="0" collapsed="false">
      <c r="A25" s="22" t="s">
        <v>287</v>
      </c>
      <c r="B25" s="22"/>
      <c r="C25" s="22"/>
      <c r="D25" s="35" t="n">
        <v>55540.56</v>
      </c>
      <c r="E25" s="36"/>
      <c r="F25" s="36"/>
      <c r="G25" s="36"/>
      <c r="H25" s="36"/>
      <c r="I25" s="36"/>
      <c r="J25" s="36"/>
    </row>
    <row r="26" customFormat="false" ht="15" hidden="false" customHeight="true" outlineLevel="0" collapsed="false">
      <c r="A26" s="22" t="s">
        <v>288</v>
      </c>
      <c r="B26" s="22"/>
      <c r="C26" s="22"/>
      <c r="D26" s="38" t="n">
        <v>0.0218663622047244</v>
      </c>
      <c r="E26" s="39" t="s">
        <v>289</v>
      </c>
      <c r="F26" s="39"/>
      <c r="G26" s="39"/>
      <c r="H26" s="39"/>
      <c r="I26" s="39"/>
      <c r="J26" s="39"/>
    </row>
    <row r="27" customFormat="false" ht="15" hidden="false" customHeight="true" outlineLevel="0" collapsed="false">
      <c r="A27" s="22" t="s">
        <v>704</v>
      </c>
      <c r="B27" s="22"/>
      <c r="C27" s="22"/>
      <c r="D27" s="35" t="n">
        <v>33466.35</v>
      </c>
      <c r="E27" s="39" t="s">
        <v>291</v>
      </c>
      <c r="F27" s="39"/>
      <c r="G27" s="39"/>
      <c r="H27" s="39"/>
      <c r="I27" s="39"/>
      <c r="J27" s="39"/>
    </row>
    <row r="28" customFormat="false" ht="15" hidden="false" customHeight="true" outlineLevel="0" collapsed="false">
      <c r="A28" s="22" t="s">
        <v>292</v>
      </c>
      <c r="B28" s="22"/>
      <c r="C28" s="22"/>
      <c r="D28" s="35" t="n">
        <v>0</v>
      </c>
      <c r="E28" s="36"/>
      <c r="F28" s="36"/>
      <c r="G28" s="36"/>
      <c r="H28" s="36"/>
      <c r="I28" s="36"/>
      <c r="J28" s="36"/>
    </row>
    <row r="29" customFormat="false" ht="15" hidden="false" customHeight="true" outlineLevel="0" collapsed="false">
      <c r="A29" s="22" t="s">
        <v>293</v>
      </c>
      <c r="B29" s="22"/>
      <c r="C29" s="22"/>
      <c r="D29" s="35" t="n">
        <v>89006.91</v>
      </c>
      <c r="E29" s="36"/>
      <c r="F29" s="36"/>
      <c r="G29" s="36"/>
      <c r="H29" s="36"/>
      <c r="I29" s="36"/>
      <c r="J29" s="36"/>
    </row>
    <row r="30" customFormat="false" ht="15" hidden="false" customHeight="true" outlineLevel="0" collapsed="false">
      <c r="A30" s="22" t="s">
        <v>294</v>
      </c>
      <c r="B30" s="22"/>
      <c r="C30" s="22"/>
      <c r="D30" s="38" t="n">
        <v>0.0350420905511811</v>
      </c>
      <c r="E30" s="39" t="s">
        <v>295</v>
      </c>
      <c r="F30" s="39"/>
      <c r="G30" s="39"/>
      <c r="H30" s="39"/>
      <c r="I30" s="39"/>
      <c r="J30" s="39"/>
    </row>
    <row r="31" customFormat="false" ht="27.75" hidden="false" customHeight="true" outlineLevel="0" collapsed="false">
      <c r="A31" s="40" t="s">
        <v>705</v>
      </c>
      <c r="B31" s="40"/>
      <c r="C31" s="40"/>
      <c r="D31" s="40"/>
      <c r="E31" s="40"/>
      <c r="F31" s="40"/>
      <c r="G31" s="40"/>
      <c r="H31" s="40"/>
      <c r="I31" s="40"/>
      <c r="J31" s="40"/>
    </row>
    <row r="32" customFormat="false" ht="15" hidden="false" customHeight="false" outlineLevel="0" collapsed="false">
      <c r="A32" s="41" t="s">
        <v>706</v>
      </c>
      <c r="B32" s="41"/>
      <c r="C32" s="41"/>
      <c r="D32" s="41"/>
      <c r="E32" s="41"/>
      <c r="F32" s="41"/>
      <c r="G32" s="41"/>
      <c r="H32" s="41"/>
      <c r="I32" s="41"/>
      <c r="J32" s="41"/>
    </row>
    <row r="34" customFormat="false" ht="15" hidden="false" customHeight="false" outlineLevel="0" collapsed="false">
      <c r="A34" s="25" t="s">
        <v>298</v>
      </c>
    </row>
    <row r="35" customFormat="false" ht="15" hidden="false" customHeight="true" outlineLevel="0" collapsed="false">
      <c r="A35" s="22" t="s">
        <v>299</v>
      </c>
      <c r="B35" s="22"/>
      <c r="C35" s="22"/>
      <c r="D35" s="42" t="n">
        <v>0</v>
      </c>
      <c r="E35" s="43" t="s">
        <v>300</v>
      </c>
      <c r="F35" s="43"/>
      <c r="G35" s="43"/>
      <c r="H35" s="43"/>
      <c r="I35" s="43"/>
      <c r="J35" s="43"/>
    </row>
    <row r="36" customFormat="false" ht="15" hidden="false" customHeight="true" outlineLevel="0" collapsed="false">
      <c r="A36" s="22" t="s">
        <v>301</v>
      </c>
      <c r="B36" s="22"/>
      <c r="C36" s="22"/>
      <c r="D36" s="34" t="s">
        <v>302</v>
      </c>
      <c r="E36" s="43" t="s">
        <v>303</v>
      </c>
      <c r="F36" s="43"/>
      <c r="G36" s="43"/>
      <c r="H36" s="43"/>
      <c r="I36" s="43"/>
      <c r="J36" s="43"/>
    </row>
    <row r="37" customFormat="false" ht="15" hidden="false" customHeight="true" outlineLevel="0" collapsed="false">
      <c r="A37" s="22" t="s">
        <v>304</v>
      </c>
      <c r="B37" s="22"/>
      <c r="C37" s="22"/>
      <c r="D37" s="44"/>
      <c r="E37" s="43" t="s">
        <v>305</v>
      </c>
      <c r="F37" s="43"/>
      <c r="G37" s="43"/>
      <c r="H37" s="43"/>
      <c r="I37" s="43"/>
      <c r="J37" s="43"/>
    </row>
    <row r="38" customFormat="false" ht="23.85" hidden="false" customHeight="true" outlineLevel="0" collapsed="false">
      <c r="A38" s="22" t="s">
        <v>306</v>
      </c>
      <c r="B38" s="22"/>
      <c r="C38" s="22"/>
      <c r="D38" s="45" t="str">
        <f aca="false">IF(OR($D$35="",E18=""),"",IF($D$35=0,"— (no % rent)",E18/$D$35))</f>
        <v>— (no % rent)</v>
      </c>
      <c r="E38" s="43" t="s">
        <v>307</v>
      </c>
      <c r="F38" s="43"/>
      <c r="G38" s="43"/>
      <c r="H38" s="43"/>
      <c r="I38" s="43"/>
      <c r="J38" s="43"/>
    </row>
    <row r="39" customFormat="false" ht="23.85" hidden="false" customHeight="true" outlineLevel="0" collapsed="false">
      <c r="A39" s="22" t="s">
        <v>308</v>
      </c>
      <c r="B39" s="22"/>
      <c r="C39" s="22"/>
      <c r="D39" s="45" t="str">
        <f aca="false">IF($D$35="","",IF($D$35=0,"— (no % rent)",IF($D$37&lt;&gt;"",$D$37,IF(E18="","",E18/$D$35))))</f>
        <v>— (no % rent)</v>
      </c>
      <c r="E39" s="36"/>
      <c r="F39" s="36"/>
      <c r="G39" s="36"/>
      <c r="H39" s="36"/>
      <c r="I39" s="36"/>
      <c r="J39" s="36"/>
    </row>
    <row r="40" customFormat="false" ht="15" hidden="false" customHeight="true" outlineLevel="0" collapsed="false">
      <c r="A40" s="22" t="s">
        <v>309</v>
      </c>
      <c r="B40" s="22"/>
      <c r="C40" s="22"/>
      <c r="D40" s="45" t="n">
        <f aca="false">IF(OR($D$35="",D13=""),"",IF($D$35=0,0,IF($D$39="","",MAX(0,D13-$D$39)*$D$35)))</f>
        <v>0</v>
      </c>
      <c r="E40" s="36"/>
      <c r="F40" s="36"/>
      <c r="G40" s="36"/>
      <c r="H40" s="36"/>
      <c r="I40" s="36"/>
      <c r="J40" s="36"/>
    </row>
    <row r="41" customFormat="false" ht="15" hidden="false" customHeight="true" outlineLevel="0" collapsed="false">
      <c r="A41" s="22" t="s">
        <v>310</v>
      </c>
      <c r="B41" s="22"/>
      <c r="C41" s="22"/>
      <c r="D41" s="45" t="n">
        <f aca="false">IF(OR(D40="",E18=""),"",E18+D40)</f>
        <v>55540.56</v>
      </c>
      <c r="E41" s="36"/>
      <c r="F41" s="36"/>
      <c r="G41" s="36"/>
      <c r="H41" s="36"/>
      <c r="I41" s="36"/>
      <c r="J41" s="36"/>
    </row>
    <row r="42" customFormat="false" ht="15" hidden="false" customHeight="true" outlineLevel="0" collapsed="false">
      <c r="A42" s="22" t="s">
        <v>311</v>
      </c>
      <c r="B42" s="22"/>
      <c r="C42" s="22"/>
      <c r="D42" s="46" t="n">
        <f aca="false">IF(OR(D41="",D13=""),"",D41/D13)</f>
        <v>0.0218663622047244</v>
      </c>
      <c r="E42" s="36"/>
      <c r="F42" s="36"/>
      <c r="G42" s="36"/>
      <c r="H42" s="36"/>
      <c r="I42" s="36"/>
      <c r="J42" s="36"/>
    </row>
    <row r="44" customFormat="false" ht="15" hidden="false" customHeight="false" outlineLevel="0" collapsed="false">
      <c r="A44" s="25" t="s">
        <v>312</v>
      </c>
    </row>
    <row r="45" customFormat="false" ht="22.35" hidden="false" customHeight="false" outlineLevel="0" collapsed="false">
      <c r="A45" s="26" t="s">
        <v>313</v>
      </c>
      <c r="B45" s="26" t="s">
        <v>314</v>
      </c>
      <c r="C45" s="26" t="s">
        <v>315</v>
      </c>
      <c r="D45" s="26" t="s">
        <v>316</v>
      </c>
      <c r="E45" s="26" t="s">
        <v>317</v>
      </c>
      <c r="F45" s="26" t="s">
        <v>318</v>
      </c>
      <c r="G45" s="26" t="s">
        <v>319</v>
      </c>
      <c r="H45" s="26" t="s">
        <v>269</v>
      </c>
      <c r="I45" s="26" t="s">
        <v>320</v>
      </c>
      <c r="J45" s="26" t="s">
        <v>321</v>
      </c>
    </row>
    <row r="46" customFormat="false" ht="22.35" hidden="false" customHeight="false" outlineLevel="0" collapsed="false">
      <c r="A46" s="47" t="s">
        <v>707</v>
      </c>
      <c r="B46" s="47" t="s">
        <v>708</v>
      </c>
      <c r="C46" s="47" t="s">
        <v>236</v>
      </c>
      <c r="D46" s="47" t="s">
        <v>709</v>
      </c>
      <c r="E46" s="47" t="s">
        <v>710</v>
      </c>
      <c r="F46" s="48"/>
      <c r="G46" s="47" t="s">
        <v>327</v>
      </c>
      <c r="H46" s="49" t="n">
        <v>154000</v>
      </c>
      <c r="I46" s="50" t="s">
        <v>328</v>
      </c>
      <c r="J46" s="47" t="s">
        <v>711</v>
      </c>
    </row>
    <row r="47" customFormat="false" ht="22.35" hidden="false" customHeight="false" outlineLevel="0" collapsed="false">
      <c r="A47" s="47" t="s">
        <v>322</v>
      </c>
      <c r="B47" s="47" t="s">
        <v>712</v>
      </c>
      <c r="C47" s="47" t="s">
        <v>236</v>
      </c>
      <c r="D47" s="47" t="s">
        <v>709</v>
      </c>
      <c r="E47" s="47" t="s">
        <v>713</v>
      </c>
      <c r="F47" s="48"/>
      <c r="G47" s="47" t="s">
        <v>327</v>
      </c>
      <c r="H47" s="49" t="n">
        <v>116650</v>
      </c>
      <c r="I47" s="50" t="s">
        <v>328</v>
      </c>
      <c r="J47" s="47" t="s">
        <v>714</v>
      </c>
    </row>
    <row r="48" customFormat="false" ht="22.35" hidden="false" customHeight="false" outlineLevel="0" collapsed="false">
      <c r="A48" s="47" t="s">
        <v>189</v>
      </c>
      <c r="B48" s="47" t="s">
        <v>715</v>
      </c>
      <c r="C48" s="47" t="s">
        <v>716</v>
      </c>
      <c r="D48" s="47" t="s">
        <v>717</v>
      </c>
      <c r="E48" s="47" t="s">
        <v>718</v>
      </c>
      <c r="F48" s="48"/>
      <c r="G48" s="47" t="s">
        <v>327</v>
      </c>
      <c r="H48" s="49" t="n">
        <v>105000</v>
      </c>
      <c r="I48" s="47" t="s">
        <v>334</v>
      </c>
      <c r="J48" s="47" t="s">
        <v>719</v>
      </c>
    </row>
    <row r="49" customFormat="false" ht="32.8" hidden="false" customHeight="false" outlineLevel="0" collapsed="false">
      <c r="A49" s="47" t="s">
        <v>720</v>
      </c>
      <c r="B49" s="47" t="s">
        <v>721</v>
      </c>
      <c r="C49" s="47" t="s">
        <v>236</v>
      </c>
      <c r="D49" s="47" t="s">
        <v>722</v>
      </c>
      <c r="E49" s="47" t="s">
        <v>723</v>
      </c>
      <c r="F49" s="48"/>
      <c r="G49" s="47" t="s">
        <v>724</v>
      </c>
      <c r="H49" s="49" t="n">
        <v>200000</v>
      </c>
      <c r="I49" s="51" t="s">
        <v>342</v>
      </c>
      <c r="J49" s="47" t="s">
        <v>725</v>
      </c>
    </row>
    <row r="50" customFormat="false" ht="22.35" hidden="false" customHeight="false" outlineLevel="0" collapsed="false">
      <c r="A50" s="47" t="s">
        <v>726</v>
      </c>
      <c r="B50" s="47" t="s">
        <v>727</v>
      </c>
      <c r="C50" s="47" t="s">
        <v>236</v>
      </c>
      <c r="D50" s="47" t="s">
        <v>728</v>
      </c>
      <c r="E50" s="47" t="s">
        <v>729</v>
      </c>
      <c r="F50" s="48"/>
      <c r="G50" s="47" t="s">
        <v>730</v>
      </c>
      <c r="H50" s="49" t="n">
        <v>54000</v>
      </c>
      <c r="I50" s="51" t="s">
        <v>342</v>
      </c>
      <c r="J50" s="47" t="s">
        <v>731</v>
      </c>
    </row>
    <row r="51" customFormat="false" ht="15" hidden="false" customHeight="false" outlineLevel="0" collapsed="false">
      <c r="A51" s="52" t="s">
        <v>344</v>
      </c>
      <c r="B51" s="52"/>
      <c r="C51" s="52"/>
      <c r="D51" s="52"/>
      <c r="E51" s="52"/>
      <c r="F51" s="52"/>
      <c r="G51" s="52"/>
      <c r="H51" s="53" t="n">
        <f aca="false">IF(COUNT(H46:H50)=0,"",AVERAGE(H46:H50))</f>
        <v>125930</v>
      </c>
      <c r="I51" s="52" t="str">
        <f aca="false">IF(COUNT(H46:H50)=0,"",TEXT(MIN(H46:H50),"$#,##0")&amp;" – "&amp;TEXT(MAX(H46:H50),"$#,##0"))</f>
        <v>$54,000 – $200,000</v>
      </c>
      <c r="J51" s="36"/>
    </row>
    <row r="53" customFormat="false" ht="15" hidden="false" customHeight="false" outlineLevel="0" collapsed="false">
      <c r="A53" s="25" t="s">
        <v>345</v>
      </c>
    </row>
    <row r="54" customFormat="false" ht="53.7" hidden="false" customHeight="true" outlineLevel="0" collapsed="false">
      <c r="A54" s="26" t="s">
        <v>346</v>
      </c>
      <c r="B54" s="26"/>
      <c r="C54" s="26"/>
      <c r="D54" s="26" t="s">
        <v>347</v>
      </c>
      <c r="E54" s="26" t="s">
        <v>348</v>
      </c>
      <c r="F54" s="26" t="s">
        <v>349</v>
      </c>
      <c r="G54" s="26" t="s">
        <v>350</v>
      </c>
      <c r="H54" s="54" t="s">
        <v>351</v>
      </c>
    </row>
    <row r="55" customFormat="false" ht="68.65" hidden="false" customHeight="true" outlineLevel="0" collapsed="false">
      <c r="A55" s="22" t="s">
        <v>352</v>
      </c>
      <c r="B55" s="22"/>
      <c r="C55" s="22"/>
      <c r="D55" s="55" t="s">
        <v>353</v>
      </c>
      <c r="E55" s="56"/>
      <c r="F55" s="56"/>
      <c r="G55" s="56"/>
      <c r="H55" s="56"/>
    </row>
    <row r="56" customFormat="false" ht="15" hidden="false" customHeight="true" outlineLevel="0" collapsed="false">
      <c r="A56" s="22" t="s">
        <v>354</v>
      </c>
      <c r="B56" s="22"/>
      <c r="C56" s="22"/>
      <c r="D56" s="57" t="n">
        <v>55541</v>
      </c>
      <c r="E56" s="57"/>
      <c r="F56" s="57"/>
      <c r="G56" s="57"/>
      <c r="H56" s="57"/>
    </row>
    <row r="57" customFormat="false" ht="15" hidden="false" customHeight="true" outlineLevel="0" collapsed="false">
      <c r="A57" s="22" t="s">
        <v>355</v>
      </c>
      <c r="B57" s="22"/>
      <c r="C57" s="22"/>
      <c r="D57" s="82" t="n">
        <v>0.02</v>
      </c>
      <c r="E57" s="58"/>
      <c r="F57" s="58"/>
      <c r="G57" s="58"/>
      <c r="H57" s="58"/>
    </row>
    <row r="58" customFormat="false" ht="15" hidden="false" customHeight="true" outlineLevel="0" collapsed="false">
      <c r="A58" s="22" t="s">
        <v>356</v>
      </c>
      <c r="B58" s="22"/>
      <c r="C58" s="22"/>
      <c r="D58" s="56" t="n">
        <v>5</v>
      </c>
      <c r="E58" s="56"/>
      <c r="F58" s="56"/>
      <c r="G58" s="56"/>
      <c r="H58" s="56"/>
    </row>
    <row r="59" customFormat="false" ht="15" hidden="false" customHeight="true" outlineLevel="0" collapsed="false">
      <c r="A59" s="22" t="s">
        <v>357</v>
      </c>
      <c r="B59" s="22"/>
      <c r="C59" s="22"/>
      <c r="D59" s="59" t="n">
        <v>20</v>
      </c>
      <c r="E59" s="59"/>
      <c r="F59" s="59"/>
      <c r="G59" s="59"/>
      <c r="H59" s="59"/>
    </row>
    <row r="60" customFormat="false" ht="15" hidden="false" customHeight="true" outlineLevel="0" collapsed="false">
      <c r="A60" s="22" t="s">
        <v>358</v>
      </c>
      <c r="B60" s="22"/>
      <c r="C60" s="22"/>
      <c r="D60" s="60" t="n">
        <f aca="false">IF(OR(D56="",E18=""),"",D56-E18)</f>
        <v>0.440000000002328</v>
      </c>
      <c r="E60" s="60" t="str">
        <f aca="false">IF(OR(E56="",E18=""),"",E56-E18)</f>
        <v/>
      </c>
      <c r="F60" s="60" t="str">
        <f aca="false">IF(OR(F56="",E18=""),"",F56-E18)</f>
        <v/>
      </c>
      <c r="G60" s="60" t="str">
        <f aca="false">IF(OR(G56="",E18=""),"",G56-E18)</f>
        <v/>
      </c>
      <c r="H60" s="60" t="str">
        <f aca="false">IF(OR(H56="",E18=""),"",H56-E18)</f>
        <v/>
      </c>
    </row>
    <row r="61" customFormat="false" ht="15" hidden="false" customHeight="true" outlineLevel="0" collapsed="false">
      <c r="A61" s="22" t="s">
        <v>359</v>
      </c>
      <c r="B61" s="22"/>
      <c r="C61" s="22"/>
      <c r="D61" s="61" t="n">
        <f aca="false">IF(OR(D56="",E18=""),"",(D56-E18)/E18)</f>
        <v>7.92213834362362E-006</v>
      </c>
      <c r="E61" s="61" t="str">
        <f aca="false">IF(OR(E56="",E18=""),"",(E56-E18)/E18)</f>
        <v/>
      </c>
      <c r="F61" s="61" t="str">
        <f aca="false">IF(OR(F56="",E18=""),"",(F56-E18)/E18)</f>
        <v/>
      </c>
      <c r="G61" s="61" t="str">
        <f aca="false">IF(OR(G56="",E18=""),"",(G56-E18)/E18)</f>
        <v/>
      </c>
      <c r="H61" s="61" t="str">
        <f aca="false">IF(OR(H56="",E18=""),"",(H56-E18)/E18)</f>
        <v/>
      </c>
    </row>
    <row r="62" customFormat="false" ht="15" hidden="false" customHeight="true" outlineLevel="0" collapsed="false">
      <c r="A62" s="22" t="s">
        <v>360</v>
      </c>
      <c r="B62" s="22"/>
      <c r="C62" s="22"/>
      <c r="D62" s="62" t="n">
        <f aca="false">IF(OR(D56="",D13=""),"",D56/D13)</f>
        <v>0.0218665354330709</v>
      </c>
      <c r="E62" s="62" t="str">
        <f aca="false">IF(OR(E56="",D13=""),"",E56/D13)</f>
        <v/>
      </c>
      <c r="F62" s="62" t="str">
        <f aca="false">IF(OR(F56="",D13=""),"",F56/D13)</f>
        <v/>
      </c>
      <c r="G62" s="62" t="str">
        <f aca="false">IF(OR(G56="",D13=""),"",G56/D13)</f>
        <v/>
      </c>
      <c r="H62" s="62" t="str">
        <f aca="false">IF(OR(H56="",D13=""),"",H56/D13)</f>
        <v/>
      </c>
    </row>
    <row r="63" customFormat="false" ht="15" hidden="false" customHeight="true" outlineLevel="0" collapsed="false">
      <c r="A63" s="22" t="s">
        <v>361</v>
      </c>
      <c r="B63" s="22"/>
      <c r="C63" s="22"/>
      <c r="D63" s="61" t="n">
        <f aca="false">IF(OR(D56="",H51=""),"",(D56-H51)/H51)</f>
        <v>-0.558953386802192</v>
      </c>
      <c r="E63" s="61" t="str">
        <f aca="false">IF(OR(E56="",H51=""),"",(E56-H51)/H51)</f>
        <v/>
      </c>
      <c r="F63" s="61" t="str">
        <f aca="false">IF(OR(F56="",H51=""),"",(F56-H51)/H51)</f>
        <v/>
      </c>
      <c r="G63" s="61" t="str">
        <f aca="false">IF(OR(G56="",H51=""),"",(G56-H51)/H51)</f>
        <v/>
      </c>
      <c r="H63" s="61" t="str">
        <f aca="false">IF(OR(H56="",H51=""),"",(H56-H51)/H51)</f>
        <v/>
      </c>
    </row>
    <row r="64" customFormat="false" ht="15" hidden="false" customHeight="true" outlineLevel="0" collapsed="false">
      <c r="A64" s="22" t="s">
        <v>362</v>
      </c>
      <c r="B64" s="22"/>
      <c r="C64" s="22"/>
      <c r="D64" s="63" t="n">
        <f aca="true">IF(D56="","",SUMPRODUCT(D56*(1+IF(D57="",0,D57))^ROUNDDOWN((ROW(INDIRECT("1:10"))-1)/IF(D58="",5,D58),0)))</f>
        <v>560964.1</v>
      </c>
      <c r="E64" s="63" t="str">
        <f aca="true">IF(E56="","",SUMPRODUCT(E56*(1+IF(E57="",0,E57))^ROUNDDOWN((ROW(INDIRECT("1:10"))-1)/IF(E58="",5,E58),0)))</f>
        <v/>
      </c>
      <c r="F64" s="63" t="str">
        <f aca="true">IF(F56="","",SUMPRODUCT(F56*(1+IF(F57="",0,F57))^ROUNDDOWN((ROW(INDIRECT("1:10"))-1)/IF(F58="",5,F58),0)))</f>
        <v/>
      </c>
      <c r="G64" s="63" t="str">
        <f aca="true">IF(G56="","",SUMPRODUCT(G56*(1+IF(G57="",0,G57))^ROUNDDOWN((ROW(INDIRECT("1:10"))-1)/IF(G58="",5,G58),0)))</f>
        <v/>
      </c>
      <c r="H64" s="63" t="str">
        <f aca="true">IF(H56="","",SUMPRODUCT(H56*(1+IF(H57="",0,H57))^ROUNDDOWN((ROW(INDIRECT("1:10"))-1)/IF(H58="",5,H58),0)))</f>
        <v/>
      </c>
    </row>
    <row r="65" customFormat="false" ht="15" hidden="false" customHeight="true" outlineLevel="0" collapsed="false">
      <c r="A65" s="22" t="s">
        <v>363</v>
      </c>
      <c r="B65" s="22"/>
      <c r="C65" s="22"/>
      <c r="D65" s="60" t="n">
        <f aca="false">IF(OR(D64="",E21=""),"",D64-E21)</f>
        <v>-47156.036</v>
      </c>
      <c r="E65" s="60" t="str">
        <f aca="false">IF(OR(E64="",E21=""),"",E64-E21)</f>
        <v/>
      </c>
      <c r="F65" s="60" t="str">
        <f aca="false">IF(OR(F64="",E21=""),"",F64-E21)</f>
        <v/>
      </c>
      <c r="G65" s="60" t="str">
        <f aca="false">IF(OR(G64="",E21=""),"",G64-E21)</f>
        <v/>
      </c>
      <c r="H65" s="60" t="str">
        <f aca="false">IF(OR(H64="",E21=""),"",H64-E21)</f>
        <v/>
      </c>
    </row>
    <row r="66" customFormat="false" ht="23.85" hidden="false" customHeight="true" outlineLevel="0" collapsed="false">
      <c r="A66" s="22" t="s">
        <v>364</v>
      </c>
      <c r="B66" s="22"/>
      <c r="C66" s="22"/>
      <c r="D66" s="58"/>
      <c r="E66" s="58"/>
      <c r="F66" s="58"/>
      <c r="G66" s="58"/>
      <c r="H66" s="58"/>
    </row>
    <row r="67" customFormat="false" ht="23.85" hidden="false" customHeight="true" outlineLevel="0" collapsed="false">
      <c r="A67" s="22" t="s">
        <v>365</v>
      </c>
      <c r="B67" s="22"/>
      <c r="C67" s="22"/>
      <c r="D67" s="57"/>
      <c r="E67" s="57"/>
      <c r="F67" s="57"/>
      <c r="G67" s="57"/>
      <c r="H67" s="57"/>
    </row>
    <row r="68" customFormat="false" ht="15" hidden="false" customHeight="true" outlineLevel="0" collapsed="false">
      <c r="A68" s="22" t="s">
        <v>366</v>
      </c>
      <c r="B68" s="22"/>
      <c r="C68" s="22"/>
      <c r="D68" s="63" t="str">
        <f aca="false">IF(OR(D56="",AND(D66="",$D$35="")),"",IF(IF(D66="",IF($D$35="",0,$D$35),D66)=0,"— (% rent removed)",IF(D67&lt;&gt;"",D67,IF($D$37&lt;&gt;"",$D$37,D56/IF(D66="",IF($D$35="",0,$D$35),D66)))))</f>
        <v>— (% rent removed)</v>
      </c>
      <c r="E68" s="63" t="str">
        <f aca="false">IF(OR(E56="",AND(E66="",$D$35="")),"",IF(IF(E66="",IF($D$35="",0,$D$35),E66)=0,"— (% rent removed)",IF(E67&lt;&gt;"",E67,IF($D$37&lt;&gt;"",$D$37,E56/IF(E66="",IF($D$35="",0,$D$35),E66)))))</f>
        <v/>
      </c>
      <c r="F68" s="63" t="str">
        <f aca="false">IF(OR(F56="",AND(F66="",$D$35="")),"",IF(IF(F66="",IF($D$35="",0,$D$35),F66)=0,"— (% rent removed)",IF(F67&lt;&gt;"",F67,IF($D$37&lt;&gt;"",$D$37,F56/IF(F66="",IF($D$35="",0,$D$35),F66)))))</f>
        <v/>
      </c>
      <c r="G68" s="63" t="str">
        <f aca="false">IF(OR(G56="",AND(G66="",$D$35="")),"",IF(IF(G66="",IF($D$35="",0,$D$35),G66)=0,"— (% rent removed)",IF(G67&lt;&gt;"",G67,IF($D$37&lt;&gt;"",$D$37,G56/IF(G66="",IF($D$35="",0,$D$35),G66)))))</f>
        <v/>
      </c>
      <c r="H68" s="63" t="str">
        <f aca="false">IF(OR(H56="",AND(H66="",$D$35="")),"",IF(IF(H66="",IF($D$35="",0,$D$35),H66)=0,"— (% rent removed)",IF(H67&lt;&gt;"",H67,IF($D$37&lt;&gt;"",$D$37,H56/IF(H66="",IF($D$35="",0,$D$35),H66)))))</f>
        <v/>
      </c>
    </row>
    <row r="69" customFormat="false" ht="15" hidden="false" customHeight="true" outlineLevel="0" collapsed="false">
      <c r="A69" s="22" t="s">
        <v>367</v>
      </c>
      <c r="B69" s="22"/>
      <c r="C69" s="22"/>
      <c r="D69" s="63" t="n">
        <f aca="false">IF(OR(D56="",AND(D66="",$D$35=""),D13=""),"",IF(IF(D66="",IF($D$35="",0,$D$35),D66)=0,0,MAX(0,D13-D68)*IF(D66="",IF($D$35="",0,$D$35),D66)))</f>
        <v>0</v>
      </c>
      <c r="E69" s="63" t="str">
        <f aca="false">IF(OR(E56="",AND(E66="",$D$35=""),D13=""),"",IF(IF(E66="",IF($D$35="",0,$D$35),E66)=0,0,MAX(0,D13-E68)*IF(E66="",IF($D$35="",0,$D$35),E66)))</f>
        <v/>
      </c>
      <c r="F69" s="63" t="str">
        <f aca="false">IF(OR(F56="",AND(F66="",$D$35=""),D13=""),"",IF(IF(F66="",IF($D$35="",0,$D$35),F66)=0,0,MAX(0,D13-F68)*IF(F66="",IF($D$35="",0,$D$35),F66)))</f>
        <v/>
      </c>
      <c r="G69" s="63" t="str">
        <f aca="false">IF(OR(G56="",AND(G66="",$D$35=""),D13=""),"",IF(IF(G66="",IF($D$35="",0,$D$35),G66)=0,0,MAX(0,D13-G68)*IF(G66="",IF($D$35="",0,$D$35),G66)))</f>
        <v/>
      </c>
      <c r="H69" s="63" t="str">
        <f aca="false">IF(OR(H56="",AND(H66="",$D$35=""),D13=""),"",IF(IF(H66="",IF($D$35="",0,$D$35),H66)=0,0,MAX(0,D13-H68)*IF(H66="",IF($D$35="",0,$D$35),H66)))</f>
        <v/>
      </c>
    </row>
    <row r="70" customFormat="false" ht="15" hidden="false" customHeight="true" outlineLevel="0" collapsed="false">
      <c r="A70" s="22" t="s">
        <v>368</v>
      </c>
      <c r="B70" s="22"/>
      <c r="C70" s="22"/>
      <c r="D70" s="63" t="n">
        <f aca="false">IF(OR(D56="",D69=""),"",D56+D69)</f>
        <v>55541</v>
      </c>
      <c r="E70" s="63" t="str">
        <f aca="false">IF(OR(E56="",E69=""),"",E56+E69)</f>
        <v/>
      </c>
      <c r="F70" s="63" t="str">
        <f aca="false">IF(OR(F56="",F69=""),"",F56+F69)</f>
        <v/>
      </c>
      <c r="G70" s="63" t="str">
        <f aca="false">IF(OR(G56="",G69=""),"",G56+G69)</f>
        <v/>
      </c>
      <c r="H70" s="63" t="str">
        <f aca="false">IF(OR(H56="",H69=""),"",H56+H69)</f>
        <v/>
      </c>
    </row>
    <row r="71" customFormat="false" ht="15" hidden="false" customHeight="true" outlineLevel="0" collapsed="false">
      <c r="A71" s="22" t="s">
        <v>369</v>
      </c>
      <c r="B71" s="22"/>
      <c r="C71" s="22"/>
      <c r="D71" s="62" t="n">
        <f aca="false">IF(OR(D70="",D13=""),"",D70/D13)</f>
        <v>0.0218665354330709</v>
      </c>
      <c r="E71" s="62" t="str">
        <f aca="false">IF(OR(E70="",D13=""),"",E70/D13)</f>
        <v/>
      </c>
      <c r="F71" s="62" t="str">
        <f aca="false">IF(OR(F70="",D13=""),"",F70/D13)</f>
        <v/>
      </c>
      <c r="G71" s="62" t="str">
        <f aca="false">IF(OR(G70="",D13=""),"",G70/D13)</f>
        <v/>
      </c>
      <c r="H71" s="62" t="str">
        <f aca="false">IF(OR(H70="",D13=""),"",H70/D13)</f>
        <v/>
      </c>
    </row>
    <row r="72" customFormat="false" ht="23.85" hidden="false" customHeight="true" outlineLevel="0" collapsed="false">
      <c r="A72" s="22" t="s">
        <v>370</v>
      </c>
      <c r="B72" s="22"/>
      <c r="C72" s="22"/>
      <c r="D72" s="64" t="n">
        <f aca="false">IF(D70="","",(773740.21-D70)/2567208.07)</f>
        <v>0.279758862708779</v>
      </c>
      <c r="E72" s="64" t="str">
        <f aca="false">IF(E70="","",(773740.21-E70)/2567208.07)</f>
        <v/>
      </c>
      <c r="F72" s="64" t="str">
        <f aca="false">IF(F70="","",(773740.21-F70)/2567208.07)</f>
        <v/>
      </c>
      <c r="G72" s="64" t="str">
        <f aca="false">IF(G70="","",(773740.21-G70)/2567208.07)</f>
        <v/>
      </c>
      <c r="H72" s="64" t="str">
        <f aca="false">IF(H70="","",(773740.21-H70)/2567208.07)</f>
        <v/>
      </c>
    </row>
    <row r="73" customFormat="false" ht="15" hidden="false" customHeight="true" outlineLevel="0" collapsed="false">
      <c r="A73" s="22" t="s">
        <v>371</v>
      </c>
      <c r="B73" s="22"/>
      <c r="C73" s="22"/>
      <c r="D73" s="63" t="n">
        <f aca="true">IF(OR(D56="",AND(D66="",$D$35=""),D13=""),"",IF(IF(D66="",IF($D$35="",0,$D$35),D66)=0,0,SUMPRODUCT(((D13*1.02^(ROW(INDIRECT("1:10"))-1))-(IF(D67&lt;&gt;"",D67,IF($D$37&lt;&gt;"",$D$37,(D56*(1+IF(D57="",0,D57))^ROUNDDOWN((ROW(INDIRECT("1:10"))-1)/IF(D58="",5,D58),0))/IF(D66="",IF($D$35="",0,$D$35),D66))))&gt;0)*((D13*1.02^(ROW(INDIRECT("1:10"))-1))-(IF(D67&lt;&gt;"",D67,IF($D$37&lt;&gt;"",$D$37,(D56*(1+IF(D57="",0,D57))^ROUNDDOWN((ROW(INDIRECT("1:10"))-1)/IF(D58="",5,D58),0))/IF(D66="",IF($D$35="",0,$D$35),D66))))))*IF(D66="",IF($D$35="",0,$D$35),D66)))</f>
        <v>0</v>
      </c>
      <c r="E73" s="63" t="str">
        <f aca="true">IF(OR(E56="",AND(E66="",$D$35=""),D13=""),"",IF(IF(E66="",IF($D$35="",0,$D$35),E66)=0,0,SUMPRODUCT(((D13*1.02^(ROW(INDIRECT("1:10"))-1))-(IF(E67&lt;&gt;"",E67,IF($D$37&lt;&gt;"",$D$37,(E56*(1+IF(E57="",0,E57))^ROUNDDOWN((ROW(INDIRECT("1:10"))-1)/IF(E58="",5,E58),0))/IF(E66="",IF($D$35="",0,$D$35),E66))))&gt;0)*((D13*1.02^(ROW(INDIRECT("1:10"))-1))-(IF(E67&lt;&gt;"",E67,IF($D$37&lt;&gt;"",$D$37,(E56*(1+IF(E57="",0,E57))^ROUNDDOWN((ROW(INDIRECT("1:10"))-1)/IF(E58="",5,E58),0))/IF(E66="",IF($D$35="",0,$D$35),E66))))))*IF(E66="",IF($D$35="",0,$D$35),E66)))</f>
        <v/>
      </c>
      <c r="F73" s="63" t="str">
        <f aca="true">IF(OR(F56="",AND(F66="",$D$35=""),D13=""),"",IF(IF(F66="",IF($D$35="",0,$D$35),F66)=0,0,SUMPRODUCT(((D13*1.02^(ROW(INDIRECT("1:10"))-1))-(IF(F67&lt;&gt;"",F67,IF($D$37&lt;&gt;"",$D$37,(F56*(1+IF(F57="",0,F57))^ROUNDDOWN((ROW(INDIRECT("1:10"))-1)/IF(F58="",5,F58),0))/IF(F66="",IF($D$35="",0,$D$35),F66))))&gt;0)*((D13*1.02^(ROW(INDIRECT("1:10"))-1))-(IF(F67&lt;&gt;"",F67,IF($D$37&lt;&gt;"",$D$37,(F56*(1+IF(F57="",0,F57))^ROUNDDOWN((ROW(INDIRECT("1:10"))-1)/IF(F58="",5,F58),0))/IF(F66="",IF($D$35="",0,$D$35),F66))))))*IF(F66="",IF($D$35="",0,$D$35),F66)))</f>
        <v/>
      </c>
      <c r="G73" s="63" t="str">
        <f aca="true">IF(OR(G56="",AND(G66="",$D$35=""),D13=""),"",IF(IF(G66="",IF($D$35="",0,$D$35),G66)=0,0,SUMPRODUCT(((D13*1.02^(ROW(INDIRECT("1:10"))-1))-(IF(G67&lt;&gt;"",G67,IF($D$37&lt;&gt;"",$D$37,(G56*(1+IF(G57="",0,G57))^ROUNDDOWN((ROW(INDIRECT("1:10"))-1)/IF(G58="",5,G58),0))/IF(G66="",IF($D$35="",0,$D$35),G66))))&gt;0)*((D13*1.02^(ROW(INDIRECT("1:10"))-1))-(IF(G67&lt;&gt;"",G67,IF($D$37&lt;&gt;"",$D$37,(G56*(1+IF(G57="",0,G57))^ROUNDDOWN((ROW(INDIRECT("1:10"))-1)/IF(G58="",5,G58),0))/IF(G66="",IF($D$35="",0,$D$35),G66))))))*IF(G66="",IF($D$35="",0,$D$35),G66)))</f>
        <v/>
      </c>
      <c r="H73" s="63" t="str">
        <f aca="true">IF(OR(H56="",AND(H66="",$D$35=""),D13=""),"",IF(IF(H66="",IF($D$35="",0,$D$35),H66)=0,0,SUMPRODUCT(((D13*1.02^(ROW(INDIRECT("1:10"))-1))-(IF(H67&lt;&gt;"",H67,IF($D$37&lt;&gt;"",$D$37,(H56*(1+IF(H57="",0,H57))^ROUNDDOWN((ROW(INDIRECT("1:10"))-1)/IF(H58="",5,H58),0))/IF(H66="",IF($D$35="",0,$D$35),H66))))&gt;0)*((D13*1.02^(ROW(INDIRECT("1:10"))-1))-(IF(H67&lt;&gt;"",H67,IF($D$37&lt;&gt;"",$D$37,(H56*(1+IF(H57="",0,H57))^ROUNDDOWN((ROW(INDIRECT("1:10"))-1)/IF(H58="",5,H58),0))/IF(H66="",IF($D$35="",0,$D$35),H66))))))*IF(H66="",IF($D$35="",0,$D$35),H66)))</f>
        <v/>
      </c>
    </row>
    <row r="74" customFormat="false" ht="15" hidden="false" customHeight="true" outlineLevel="0" collapsed="false">
      <c r="A74" s="22" t="s">
        <v>372</v>
      </c>
      <c r="B74" s="22"/>
      <c r="C74" s="22"/>
      <c r="D74" s="63" t="n">
        <f aca="false">IF(OR(D64="",D73=""),"",D64+D73)</f>
        <v>560964.1</v>
      </c>
      <c r="E74" s="63" t="str">
        <f aca="false">IF(OR(E64="",E73=""),"",E64+E73)</f>
        <v/>
      </c>
      <c r="F74" s="63" t="str">
        <f aca="false">IF(OR(F64="",F73=""),"",F64+F73)</f>
        <v/>
      </c>
      <c r="G74" s="63" t="str">
        <f aca="false">IF(OR(G64="",G73=""),"",G64+G73)</f>
        <v/>
      </c>
      <c r="H74" s="63" t="str">
        <f aca="false">IF(OR(H64="",H73=""),"",H64+H73)</f>
        <v/>
      </c>
    </row>
    <row r="75" customFormat="false" ht="23.85" hidden="false" customHeight="true" outlineLevel="0" collapsed="false">
      <c r="A75" s="22" t="s">
        <v>373</v>
      </c>
      <c r="B75" s="22"/>
      <c r="C75" s="22"/>
      <c r="D75" s="65" t="n">
        <f aca="true">IF(D56="","",SUMPRODUCT(D56*(1+IF(D57="",0,D57))^ROUNDDOWN((ROW(INDIRECT("1:"&amp;IF(D59="",10,D59)))-1)/IF(D58="",5,D58),0))+IF(OR(D13="",IF(D66="",IF($D$35="",0,$D$35),D66)=0),0,SUMPRODUCT(((D13*1.02^(ROW(INDIRECT("1:"&amp;IF(D59="",10,D59)))-1))-(IF(D67&lt;&gt;"",D67,IF($D$37&lt;&gt;"",$D$37,(D56*(1+IF(D57="",0,D57))^ROUNDDOWN((ROW(INDIRECT("1:"&amp;IF(D59="",10,D59)))-1)/IF(D58="",5,D58),0))/IF(D66="",IF($D$35="",0,$D$35),D66))))&gt;0)*((D13*1.02^(ROW(INDIRECT("1:"&amp;IF(D59="",10,D59)))-1))-(IF(D67&lt;&gt;"",D67,IF($D$37&lt;&gt;"",$D$37,(D56*(1+IF(D57="",0,D57))^ROUNDDOWN((ROW(INDIRECT("1:"&amp;IF(D59="",10,D59)))-1)/IF(D58="",5,D58),0))/IF(D66="",IF($D$35="",0,$D$35),D66))))))*IF(D66="",IF($D$35="",0,$D$35),D66)))</f>
        <v>1144591.14964</v>
      </c>
      <c r="E75" s="65" t="str">
        <f aca="true">IF(E56="","",SUMPRODUCT(E56*(1+IF(E57="",0,E57))^ROUNDDOWN((ROW(INDIRECT("1:"&amp;IF(E59="",10,E59)))-1)/IF(E58="",5,E58),0))+IF(OR(D13="",IF(E66="",IF($D$35="",0,$D$35),E66)=0),0,SUMPRODUCT(((D13*1.02^(ROW(INDIRECT("1:"&amp;IF(E59="",10,E59)))-1))-(IF(E67&lt;&gt;"",E67,IF($D$37&lt;&gt;"",$D$37,(E56*(1+IF(E57="",0,E57))^ROUNDDOWN((ROW(INDIRECT("1:"&amp;IF(E59="",10,E59)))-1)/IF(E58="",5,E58),0))/IF(E66="",IF($D$35="",0,$D$35),E66))))&gt;0)*((D13*1.02^(ROW(INDIRECT("1:"&amp;IF(E59="",10,E59)))-1))-(IF(E67&lt;&gt;"",E67,IF($D$37&lt;&gt;"",$D$37,(E56*(1+IF(E57="",0,E57))^ROUNDDOWN((ROW(INDIRECT("1:"&amp;IF(E59="",10,E59)))-1)/IF(E58="",5,E58),0))/IF(E66="",IF($D$35="",0,$D$35),E66))))))*IF(E66="",IF($D$35="",0,$D$35),E66)))</f>
        <v/>
      </c>
      <c r="F75" s="65" t="str">
        <f aca="true">IF(F56="","",SUMPRODUCT(F56*(1+IF(F57="",0,F57))^ROUNDDOWN((ROW(INDIRECT("1:"&amp;IF(F59="",10,F59)))-1)/IF(F58="",5,F58),0))+IF(OR(D13="",IF(F66="",IF($D$35="",0,$D$35),F66)=0),0,SUMPRODUCT(((D13*1.02^(ROW(INDIRECT("1:"&amp;IF(F59="",10,F59)))-1))-(IF(F67&lt;&gt;"",F67,IF($D$37&lt;&gt;"",$D$37,(F56*(1+IF(F57="",0,F57))^ROUNDDOWN((ROW(INDIRECT("1:"&amp;IF(F59="",10,F59)))-1)/IF(F58="",5,F58),0))/IF(F66="",IF($D$35="",0,$D$35),F66))))&gt;0)*((D13*1.02^(ROW(INDIRECT("1:"&amp;IF(F59="",10,F59)))-1))-(IF(F67&lt;&gt;"",F67,IF($D$37&lt;&gt;"",$D$37,(F56*(1+IF(F57="",0,F57))^ROUNDDOWN((ROW(INDIRECT("1:"&amp;IF(F59="",10,F59)))-1)/IF(F58="",5,F58),0))/IF(F66="",IF($D$35="",0,$D$35),F66))))))*IF(F66="",IF($D$35="",0,$D$35),F66)))</f>
        <v/>
      </c>
      <c r="G75" s="65" t="str">
        <f aca="true">IF(G56="","",SUMPRODUCT(G56*(1+IF(G57="",0,G57))^ROUNDDOWN((ROW(INDIRECT("1:"&amp;IF(G59="",10,G59)))-1)/IF(G58="",5,G58),0))+IF(OR(D13="",IF(G66="",IF($D$35="",0,$D$35),G66)=0),0,SUMPRODUCT(((D13*1.02^(ROW(INDIRECT("1:"&amp;IF(G59="",10,G59)))-1))-(IF(G67&lt;&gt;"",G67,IF($D$37&lt;&gt;"",$D$37,(G56*(1+IF(G57="",0,G57))^ROUNDDOWN((ROW(INDIRECT("1:"&amp;IF(G59="",10,G59)))-1)/IF(G58="",5,G58),0))/IF(G66="",IF($D$35="",0,$D$35),G66))))&gt;0)*((D13*1.02^(ROW(INDIRECT("1:"&amp;IF(G59="",10,G59)))-1))-(IF(G67&lt;&gt;"",G67,IF($D$37&lt;&gt;"",$D$37,(G56*(1+IF(G57="",0,G57))^ROUNDDOWN((ROW(INDIRECT("1:"&amp;IF(G59="",10,G59)))-1)/IF(G58="",5,G58),0))/IF(G66="",IF($D$35="",0,$D$35),G66))))))*IF(G66="",IF($D$35="",0,$D$35),G66)))</f>
        <v/>
      </c>
      <c r="H75" s="65" t="str">
        <f aca="true">IF(H56="","",SUMPRODUCT(H56*(1+IF(H57="",0,H57))^ROUNDDOWN((ROW(INDIRECT("1:"&amp;IF(H59="",10,H59)))-1)/IF(H58="",5,H58),0))+IF(OR(D13="",IF(H66="",IF($D$35="",0,$D$35),H66)=0),0,SUMPRODUCT(((D13*1.02^(ROW(INDIRECT("1:"&amp;IF(H59="",10,H59)))-1))-(IF(H67&lt;&gt;"",H67,IF($D$37&lt;&gt;"",$D$37,(H56*(1+IF(H57="",0,H57))^ROUNDDOWN((ROW(INDIRECT("1:"&amp;IF(H59="",10,H59)))-1)/IF(H58="",5,H58),0))/IF(H66="",IF($D$35="",0,$D$35),H66))))&gt;0)*((D13*1.02^(ROW(INDIRECT("1:"&amp;IF(H59="",10,H59)))-1))-(IF(H67&lt;&gt;"",H67,IF($D$37&lt;&gt;"",$D$37,(H56*(1+IF(H57="",0,H57))^ROUNDDOWN((ROW(INDIRECT("1:"&amp;IF(H59="",10,H59)))-1)/IF(H58="",5,H58),0))/IF(H66="",IF($D$35="",0,$D$35),H66))))))*IF(H66="",IF($D$35="",0,$D$35),H66)))</f>
        <v/>
      </c>
    </row>
    <row r="76" customFormat="false" ht="15" hidden="false" customHeight="true" outlineLevel="0" collapsed="false">
      <c r="A76" s="22" t="s">
        <v>374</v>
      </c>
      <c r="B76" s="22"/>
      <c r="C76" s="22"/>
      <c r="D76" s="62" t="n">
        <f aca="false">IF(D56="","",IF(D57="",0,(1+D57)^(5/IF(D58="",5,D58))-1))</f>
        <v>0.02</v>
      </c>
      <c r="E76" s="62" t="str">
        <f aca="false">IF(E56="","",IF(E57="",0,(1+E57)^(5/IF(E58="",5,E58))-1))</f>
        <v/>
      </c>
      <c r="F76" s="62" t="str">
        <f aca="false">IF(F56="","",IF(F57="",0,(1+F57)^(5/IF(F58="",5,F58))-1))</f>
        <v/>
      </c>
      <c r="G76" s="62" t="str">
        <f aca="false">IF(G56="","",IF(G57="",0,(1+G57)^(5/IF(G58="",5,G58))-1))</f>
        <v/>
      </c>
      <c r="H76" s="62" t="str">
        <f aca="false">IF(H56="","",IF(H57="",0,(1+H57)^(5/IF(H58="",5,H58))-1))</f>
        <v/>
      </c>
    </row>
    <row r="77" customFormat="false" ht="43.25" hidden="false" customHeight="true" outlineLevel="0" collapsed="false">
      <c r="A77" s="22" t="s">
        <v>375</v>
      </c>
      <c r="B77" s="22"/>
      <c r="C77" s="22"/>
      <c r="D77" s="66" t="str">
        <f aca="false">IF(D76="","",IF(D76&lt;=0,"REDUCTION / FLAT — ladder steps 1-2 (best)",IF(D76&lt;=0.08,"OK — within 8%/5-yr in-house authority (ladder step 3)","ABOVE 8%/5-yr — CEO SIGN-OFF REQUIRED (Rob 8/5/26)")))</f>
        <v>OK — within 8%/5-yr in-house authority (ladder step 3)</v>
      </c>
      <c r="E77" s="66" t="str">
        <f aca="false">IF(E76="","",IF(E76&lt;=0,"REDUCTION / FLAT — ladder steps 1-2 (best)",IF(E76&lt;=0.08,"OK — within 8%/5-yr in-house authority (ladder step 3)","ABOVE 8%/5-yr — CEO SIGN-OFF REQUIRED (Rob 8/5/26)")))</f>
        <v/>
      </c>
      <c r="F77" s="66" t="str">
        <f aca="false">IF(F76="","",IF(F76&lt;=0,"REDUCTION / FLAT — ladder steps 1-2 (best)",IF(F76&lt;=0.08,"OK — within 8%/5-yr in-house authority (ladder step 3)","ABOVE 8%/5-yr — CEO SIGN-OFF REQUIRED (Rob 8/5/26)")))</f>
        <v/>
      </c>
      <c r="G77" s="66" t="str">
        <f aca="false">IF(G76="","",IF(G76&lt;=0,"REDUCTION / FLAT — ladder steps 1-2 (best)",IF(G76&lt;=0.08,"OK — within 8%/5-yr in-house authority (ladder step 3)","ABOVE 8%/5-yr — CEO SIGN-OFF REQUIRED (Rob 8/5/26)")))</f>
        <v/>
      </c>
      <c r="H77" s="66" t="str">
        <f aca="false">IF(H76="","",IF(H76&lt;=0,"REDUCTION / FLAT — ladder steps 1-2 (best)",IF(H76&lt;=0.08,"OK — within 8%/5-yr in-house authority (ladder step 3)","ABOVE 8%/5-yr — CEO SIGN-OFF REQUIRED (Rob 8/5/26)")))</f>
        <v/>
      </c>
    </row>
    <row r="78" customFormat="false" ht="23.85" hidden="false" customHeight="true" outlineLevel="0" collapsed="false">
      <c r="A78" s="22" t="s">
        <v>376</v>
      </c>
      <c r="B78" s="22"/>
      <c r="C78" s="22"/>
      <c r="D78" s="62" t="n">
        <f aca="false">IF(OR(D56="",D13=""),"",((D56*(1+IF(D57="",0,D57))^ROUNDDOWN(9/IF(D58="",5,D58),0))+IF(IF(D66="",IF($D$35="",0,$D$35),D66)=0,0,MAX(0,D13*1.02^9-IF(D67&lt;&gt;"",D67,IF($D$37&lt;&gt;"",$D$37,(D56*(1+IF(D57="",0,D57))^ROUNDDOWN(9/IF(D58="",5,D58),0))/IF(D66="",IF($D$35="",0,$D$35),D66))))*IF(D66="",IF($D$35="",0,$D$35),D66)))/(D13*1.02^9))</f>
        <v>0.0186628774434134</v>
      </c>
      <c r="E78" s="62" t="str">
        <f aca="false">IF(OR(E56="",D13=""),"",((E56*(1+IF(E57="",0,E57))^ROUNDDOWN(9/IF(E58="",5,E58),0))+IF(IF(E66="",IF($D$35="",0,$D$35),E66)=0,0,MAX(0,D13*1.02^9-IF(E67&lt;&gt;"",E67,IF($D$37&lt;&gt;"",$D$37,(E56*(1+IF(E57="",0,E57))^ROUNDDOWN(9/IF(E58="",5,E58),0))/IF(E66="",IF($D$35="",0,$D$35),E66))))*IF(E66="",IF($D$35="",0,$D$35),E66)))/(D13*1.02^9))</f>
        <v/>
      </c>
      <c r="F78" s="62" t="str">
        <f aca="false">IF(OR(F56="",D13=""),"",((F56*(1+IF(F57="",0,F57))^ROUNDDOWN(9/IF(F58="",5,F58),0))+IF(IF(F66="",IF($D$35="",0,$D$35),F66)=0,0,MAX(0,D13*1.02^9-IF(F67&lt;&gt;"",F67,IF($D$37&lt;&gt;"",$D$37,(F56*(1+IF(F57="",0,F57))^ROUNDDOWN(9/IF(F58="",5,F58),0))/IF(F66="",IF($D$35="",0,$D$35),F66))))*IF(F66="",IF($D$35="",0,$D$35),F66)))/(D13*1.02^9))</f>
        <v/>
      </c>
      <c r="G78" s="62" t="str">
        <f aca="false">IF(OR(G56="",D13=""),"",((G56*(1+IF(G57="",0,G57))^ROUNDDOWN(9/IF(G58="",5,G58),0))+IF(IF(G66="",IF($D$35="",0,$D$35),G66)=0,0,MAX(0,D13*1.02^9-IF(G67&lt;&gt;"",G67,IF($D$37&lt;&gt;"",$D$37,(G56*(1+IF(G57="",0,G57))^ROUNDDOWN(9/IF(G58="",5,G58),0))/IF(G66="",IF($D$35="",0,$D$35),G66))))*IF(G66="",IF($D$35="",0,$D$35),G66)))/(D13*1.02^9))</f>
        <v/>
      </c>
      <c r="H78" s="62" t="str">
        <f aca="false">IF(OR(H56="",D13=""),"",((H56*(1+IF(H57="",0,H57))^ROUNDDOWN(9/IF(H58="",5,H58),0))+IF(IF(H66="",IF($D$35="",0,$D$35),H66)=0,0,MAX(0,D13*1.02^9-IF(H67&lt;&gt;"",H67,IF($D$37&lt;&gt;"",$D$37,(H56*(1+IF(H57="",0,H57))^ROUNDDOWN(9/IF(H58="",5,H58),0))/IF(H66="",IF($D$35="",0,$D$35),H66))))*IF(H66="",IF($D$35="",0,$D$35),H66)))/(D13*1.02^9))</f>
        <v/>
      </c>
    </row>
    <row r="79" customFormat="false" ht="23.85" hidden="false" customHeight="true" outlineLevel="0" collapsed="false">
      <c r="A79" s="22" t="s">
        <v>377</v>
      </c>
      <c r="B79" s="22"/>
      <c r="C79" s="22"/>
      <c r="D79" s="66" t="str">
        <f aca="false">IF(OR(D78="",D71=""),"",IF(MAX(D71,D78)&gt;=0.08,"HARD STOP — occupancy at/above 8% of sales: STOP, CEO sign-off before responding",IF(MAX(D71,D78)&gt;0.07,"Above Kim 7% alert — approaching 8% hard stop","OK — under 7% alert")))</f>
        <v>OK — under 7% alert</v>
      </c>
      <c r="E79" s="66" t="str">
        <f aca="false">IF(OR(E78="",E71=""),"",IF(MAX(E71,E78)&gt;=0.08,"HARD STOP — occupancy at/above 8% of sales: STOP, CEO sign-off before responding",IF(MAX(E71,E78)&gt;0.07,"Above Kim 7% alert — approaching 8% hard stop","OK — under 7% alert")))</f>
        <v/>
      </c>
      <c r="F79" s="66" t="str">
        <f aca="false">IF(OR(F78="",F71=""),"",IF(MAX(F71,F78)&gt;=0.08,"HARD STOP — occupancy at/above 8% of sales: STOP, CEO sign-off before responding",IF(MAX(F71,F78)&gt;0.07,"Above Kim 7% alert — approaching 8% hard stop","OK — under 7% alert")))</f>
        <v/>
      </c>
      <c r="G79" s="66" t="str">
        <f aca="false">IF(OR(G78="",G71=""),"",IF(MAX(G71,G78)&gt;=0.08,"HARD STOP — occupancy at/above 8% of sales: STOP, CEO sign-off before responding",IF(MAX(G71,G78)&gt;0.07,"Above Kim 7% alert — approaching 8% hard stop","OK — under 7% alert")))</f>
        <v/>
      </c>
      <c r="H79" s="66" t="str">
        <f aca="false">IF(OR(H78="",H71=""),"",IF(MAX(H71,H78)&gt;=0.08,"HARD STOP — occupancy at/above 8% of sales: STOP, CEO sign-off before responding",IF(MAX(H71,H78)&gt;0.07,"Above Kim 7% alert — approaching 8% hard stop","OK — under 7% alert")))</f>
        <v/>
      </c>
    </row>
    <row r="81" customFormat="false" ht="22.35" hidden="false" customHeight="true" outlineLevel="0" collapsed="false">
      <c r="A81" s="68" t="s">
        <v>379</v>
      </c>
      <c r="B81" s="68"/>
      <c r="C81" s="68"/>
      <c r="D81" s="68"/>
      <c r="E81" s="68"/>
      <c r="F81" s="68"/>
      <c r="G81" s="68"/>
      <c r="H81" s="68"/>
      <c r="I81" s="68"/>
      <c r="J81" s="68"/>
    </row>
    <row r="83" customFormat="false" ht="15" hidden="false" customHeight="false" outlineLevel="0" collapsed="false">
      <c r="A83" s="69" t="s">
        <v>380</v>
      </c>
      <c r="B83" s="69"/>
      <c r="C83" s="69"/>
      <c r="D83" s="69"/>
      <c r="E83" s="69"/>
      <c r="F83" s="69"/>
      <c r="G83" s="69"/>
      <c r="H83" s="69"/>
      <c r="I83" s="69"/>
      <c r="J83" s="69"/>
    </row>
    <row r="86" customFormat="false" ht="15" hidden="false" customHeight="false" outlineLevel="0" collapsed="false">
      <c r="A86" s="25" t="s">
        <v>381</v>
      </c>
    </row>
    <row r="87" customFormat="false" ht="15" hidden="false" customHeight="false" outlineLevel="0" collapsed="false">
      <c r="A87" s="69" t="s">
        <v>382</v>
      </c>
      <c r="B87" s="69"/>
      <c r="C87" s="69"/>
      <c r="D87" s="69"/>
      <c r="E87" s="69"/>
      <c r="F87" s="69"/>
      <c r="G87" s="69"/>
      <c r="H87" s="69"/>
      <c r="I87" s="69"/>
      <c r="J87" s="69"/>
      <c r="K87" s="69"/>
      <c r="L87" s="69"/>
      <c r="M87" s="69"/>
      <c r="N87" s="69"/>
      <c r="O87" s="69"/>
      <c r="P87" s="69"/>
      <c r="Q87" s="69"/>
      <c r="R87" s="69"/>
      <c r="S87" s="69"/>
      <c r="T87" s="69"/>
    </row>
    <row r="88" customFormat="false" ht="15" hidden="false" customHeight="true" outlineLevel="0" collapsed="false">
      <c r="A88" s="70" t="s">
        <v>383</v>
      </c>
      <c r="B88" s="70" t="s">
        <v>384</v>
      </c>
      <c r="C88" s="71" t="s">
        <v>385</v>
      </c>
      <c r="D88" s="71"/>
      <c r="E88" s="71"/>
      <c r="F88" s="71" t="s">
        <v>386</v>
      </c>
      <c r="G88" s="71"/>
      <c r="H88" s="71"/>
      <c r="I88" s="71" t="s">
        <v>387</v>
      </c>
      <c r="J88" s="71"/>
      <c r="K88" s="71"/>
      <c r="L88" s="71" t="s">
        <v>388</v>
      </c>
      <c r="M88" s="71"/>
      <c r="N88" s="71"/>
      <c r="O88" s="71" t="s">
        <v>389</v>
      </c>
      <c r="P88" s="71"/>
      <c r="Q88" s="71"/>
      <c r="R88" s="72" t="s">
        <v>390</v>
      </c>
      <c r="S88" s="72"/>
      <c r="T88" s="72"/>
    </row>
    <row r="89" customFormat="false" ht="15" hidden="false" customHeight="false" outlineLevel="0" collapsed="false">
      <c r="A89" s="73"/>
      <c r="B89" s="73"/>
      <c r="C89" s="73" t="s">
        <v>391</v>
      </c>
      <c r="D89" s="73" t="s">
        <v>392</v>
      </c>
      <c r="E89" s="73" t="s">
        <v>393</v>
      </c>
      <c r="F89" s="73" t="s">
        <v>391</v>
      </c>
      <c r="G89" s="73" t="s">
        <v>392</v>
      </c>
      <c r="H89" s="73" t="s">
        <v>393</v>
      </c>
      <c r="I89" s="73" t="s">
        <v>391</v>
      </c>
      <c r="J89" s="73" t="s">
        <v>392</v>
      </c>
      <c r="K89" s="73" t="s">
        <v>393</v>
      </c>
      <c r="L89" s="73" t="s">
        <v>391</v>
      </c>
      <c r="M89" s="73" t="s">
        <v>392</v>
      </c>
      <c r="N89" s="73" t="s">
        <v>393</v>
      </c>
      <c r="O89" s="73" t="s">
        <v>391</v>
      </c>
      <c r="P89" s="73" t="s">
        <v>392</v>
      </c>
      <c r="Q89" s="73" t="s">
        <v>393</v>
      </c>
      <c r="R89" s="73" t="s">
        <v>391</v>
      </c>
      <c r="S89" s="73" t="s">
        <v>392</v>
      </c>
      <c r="T89" s="73" t="s">
        <v>393</v>
      </c>
    </row>
    <row r="90" customFormat="false" ht="15" hidden="false" customHeight="false" outlineLevel="0" collapsed="false">
      <c r="A90" s="74" t="n">
        <v>1</v>
      </c>
      <c r="B90" s="75" t="n">
        <v>2540000</v>
      </c>
      <c r="C90" s="76" t="n">
        <v>55541</v>
      </c>
      <c r="D90" s="76" t="n">
        <v>0</v>
      </c>
      <c r="E90" s="76" t="n">
        <v>55541</v>
      </c>
      <c r="F90" s="75" t="n">
        <f aca="false">IF(D56="","",IF(1&gt;IF(D59="",10,D59),"",D56*(1+IF(D57="",0,D57))^ROUNDDOWN((1-1)/IF(D58="",5,D58),0)))</f>
        <v>55541</v>
      </c>
      <c r="G90" s="75" t="n">
        <f aca="false">IF(F90="","",IF((IF(D66="",IF($D$35="",0,$D$35),D66))=0,0,MAX(0,2540000-(IF(D67&lt;&gt;"",D67,IF($D$37&lt;&gt;"",$D$37,IF((IF(D66="",IF($D$35="",0,$D$35),D66))=0,0,D56/(IF(D66="",IF($D$35="",0,$D$35),D66)))))))*(IF(D66="",IF($D$35="",0,$D$35),D66))))</f>
        <v>0</v>
      </c>
      <c r="H90" s="75" t="n">
        <f aca="false">IF(F90="","",F90+G90)</f>
        <v>55541</v>
      </c>
      <c r="I90" s="75" t="str">
        <f aca="false">IF(E56="","",IF(1&gt;IF(E59="",10,E59),"",E56*(1+IF(E57="",0,E57))^ROUNDDOWN((1-1)/IF(E58="",5,E58),0)))</f>
        <v/>
      </c>
      <c r="J90" s="75" t="str">
        <f aca="false">IF(I90="","",IF((IF(E66="",IF($D$35="",0,$D$35),E66))=0,0,MAX(0,2540000-(IF(E67&lt;&gt;"",E67,IF($D$37&lt;&gt;"",$D$37,IF((IF(E66="",IF($D$35="",0,$D$35),E66))=0,0,E56/(IF(E66="",IF($D$35="",0,$D$35),E66)))))))*(IF(E66="",IF($D$35="",0,$D$35),E66))))</f>
        <v/>
      </c>
      <c r="K90" s="75" t="str">
        <f aca="false">IF(I90="","",I90+J90)</f>
        <v/>
      </c>
      <c r="L90" s="75" t="str">
        <f aca="false">IF(F56="","",IF(1&gt;IF(F59="",10,F59),"",F56*(1+IF(F57="",0,F57))^ROUNDDOWN((1-1)/IF(F58="",5,F58),0)))</f>
        <v/>
      </c>
      <c r="M90" s="75" t="str">
        <f aca="false">IF(L90="","",IF((IF(F66="",IF($D$35="",0,$D$35),F66))=0,0,MAX(0,2540000-(IF(F67&lt;&gt;"",F67,IF($D$37&lt;&gt;"",$D$37,IF((IF(F66="",IF($D$35="",0,$D$35),F66))=0,0,F56/(IF(F66="",IF($D$35="",0,$D$35),F66)))))))*(IF(F66="",IF($D$35="",0,$D$35),F66))))</f>
        <v/>
      </c>
      <c r="N90" s="75" t="str">
        <f aca="false">IF(L90="","",L90+M90)</f>
        <v/>
      </c>
      <c r="O90" s="75" t="str">
        <f aca="false">IF(G56="","",IF(1&gt;IF(G59="",10,G59),"",G56*(1+IF(G57="",0,G57))^ROUNDDOWN((1-1)/IF(G58="",5,G58),0)))</f>
        <v/>
      </c>
      <c r="P90" s="75" t="str">
        <f aca="false">IF(O90="","",IF((IF(G66="",IF($D$35="",0,$D$35),G66))=0,0,MAX(0,2540000-(IF(G67&lt;&gt;"",G67,IF($D$37&lt;&gt;"",$D$37,IF((IF(G66="",IF($D$35="",0,$D$35),G66))=0,0,G56/(IF(G66="",IF($D$35="",0,$D$35),G66)))))))*(IF(G66="",IF($D$35="",0,$D$35),G66))))</f>
        <v/>
      </c>
      <c r="Q90" s="75" t="str">
        <f aca="false">IF(O90="","",O90+P90)</f>
        <v/>
      </c>
      <c r="R90" s="75" t="str">
        <f aca="false">IF(H56="","",IF(1&gt;IF(H59="",10,H59),"",H56*(1+IF(H57="",0,H57))^ROUNDDOWN((1-1)/IF(H58="",5,H58),0)))</f>
        <v/>
      </c>
      <c r="S90" s="75" t="str">
        <f aca="false">IF(R90="","",IF((IF(H66="",IF($D$35="",0,$D$35),H66))=0,0,MAX(0,2540000-(IF(H67&lt;&gt;"",H67,IF($D$37&lt;&gt;"",$D$37,IF((IF(H66="",IF($D$35="",0,$D$35),H66))=0,0,H56/(IF(H66="",IF($D$35="",0,$D$35),H66)))))))*(IF(H66="",IF($D$35="",0,$D$35),H66))))</f>
        <v/>
      </c>
      <c r="T90" s="75" t="str">
        <f aca="false">IF(R90="","",R90+S90)</f>
        <v/>
      </c>
    </row>
    <row r="91" customFormat="false" ht="15" hidden="false" customHeight="false" outlineLevel="0" collapsed="false">
      <c r="A91" s="74" t="n">
        <v>2</v>
      </c>
      <c r="B91" s="75" t="n">
        <v>2590800</v>
      </c>
      <c r="C91" s="76" t="n">
        <v>55541</v>
      </c>
      <c r="D91" s="76" t="n">
        <v>0</v>
      </c>
      <c r="E91" s="76" t="n">
        <v>55541</v>
      </c>
      <c r="F91" s="75" t="n">
        <f aca="false">IF(D56="","",IF(2&gt;IF(D59="",10,D59),"",D56*(1+IF(D57="",0,D57))^ROUNDDOWN((2-1)/IF(D58="",5,D58),0)))</f>
        <v>55541</v>
      </c>
      <c r="G91" s="75" t="n">
        <f aca="false">IF(F91="","",IF((IF(D66="",IF($D$35="",0,$D$35),D66))=0,0,MAX(0,2590800-(IF(D67&lt;&gt;"",D67,IF($D$37&lt;&gt;"",$D$37,IF((IF(D66="",IF($D$35="",0,$D$35),D66))=0,0,D56/(IF(D66="",IF($D$35="",0,$D$35),D66)))))))*(IF(D66="",IF($D$35="",0,$D$35),D66))))</f>
        <v>0</v>
      </c>
      <c r="H91" s="75" t="n">
        <f aca="false">IF(F91="","",F91+G91)</f>
        <v>55541</v>
      </c>
      <c r="I91" s="75" t="str">
        <f aca="false">IF(E56="","",IF(2&gt;IF(E59="",10,E59),"",E56*(1+IF(E57="",0,E57))^ROUNDDOWN((2-1)/IF(E58="",5,E58),0)))</f>
        <v/>
      </c>
      <c r="J91" s="75" t="str">
        <f aca="false">IF(I91="","",IF((IF(E66="",IF($D$35="",0,$D$35),E66))=0,0,MAX(0,2590800-(IF(E67&lt;&gt;"",E67,IF($D$37&lt;&gt;"",$D$37,IF((IF(E66="",IF($D$35="",0,$D$35),E66))=0,0,E56/(IF(E66="",IF($D$35="",0,$D$35),E66)))))))*(IF(E66="",IF($D$35="",0,$D$35),E66))))</f>
        <v/>
      </c>
      <c r="K91" s="75" t="str">
        <f aca="false">IF(I91="","",I91+J91)</f>
        <v/>
      </c>
      <c r="L91" s="75" t="str">
        <f aca="false">IF(F56="","",IF(2&gt;IF(F59="",10,F59),"",F56*(1+IF(F57="",0,F57))^ROUNDDOWN((2-1)/IF(F58="",5,F58),0)))</f>
        <v/>
      </c>
      <c r="M91" s="75" t="str">
        <f aca="false">IF(L91="","",IF((IF(F66="",IF($D$35="",0,$D$35),F66))=0,0,MAX(0,2590800-(IF(F67&lt;&gt;"",F67,IF($D$37&lt;&gt;"",$D$37,IF((IF(F66="",IF($D$35="",0,$D$35),F66))=0,0,F56/(IF(F66="",IF($D$35="",0,$D$35),F66)))))))*(IF(F66="",IF($D$35="",0,$D$35),F66))))</f>
        <v/>
      </c>
      <c r="N91" s="75" t="str">
        <f aca="false">IF(L91="","",L91+M91)</f>
        <v/>
      </c>
      <c r="O91" s="75" t="str">
        <f aca="false">IF(G56="","",IF(2&gt;IF(G59="",10,G59),"",G56*(1+IF(G57="",0,G57))^ROUNDDOWN((2-1)/IF(G58="",5,G58),0)))</f>
        <v/>
      </c>
      <c r="P91" s="75" t="str">
        <f aca="false">IF(O91="","",IF((IF(G66="",IF($D$35="",0,$D$35),G66))=0,0,MAX(0,2590800-(IF(G67&lt;&gt;"",G67,IF($D$37&lt;&gt;"",$D$37,IF((IF(G66="",IF($D$35="",0,$D$35),G66))=0,0,G56/(IF(G66="",IF($D$35="",0,$D$35),G66)))))))*(IF(G66="",IF($D$35="",0,$D$35),G66))))</f>
        <v/>
      </c>
      <c r="Q91" s="75" t="str">
        <f aca="false">IF(O91="","",O91+P91)</f>
        <v/>
      </c>
      <c r="R91" s="75" t="str">
        <f aca="false">IF(H56="","",IF(2&gt;IF(H59="",10,H59),"",H56*(1+IF(H57="",0,H57))^ROUNDDOWN((2-1)/IF(H58="",5,H58),0)))</f>
        <v/>
      </c>
      <c r="S91" s="75" t="str">
        <f aca="false">IF(R91="","",IF((IF(H66="",IF($D$35="",0,$D$35),H66))=0,0,MAX(0,2590800-(IF(H67&lt;&gt;"",H67,IF($D$37&lt;&gt;"",$D$37,IF((IF(H66="",IF($D$35="",0,$D$35),H66))=0,0,H56/(IF(H66="",IF($D$35="",0,$D$35),H66)))))))*(IF(H66="",IF($D$35="",0,$D$35),H66))))</f>
        <v/>
      </c>
      <c r="T91" s="75" t="str">
        <f aca="false">IF(R91="","",R91+S91)</f>
        <v/>
      </c>
    </row>
    <row r="92" customFormat="false" ht="15" hidden="false" customHeight="false" outlineLevel="0" collapsed="false">
      <c r="A92" s="74" t="n">
        <v>3</v>
      </c>
      <c r="B92" s="75" t="n">
        <v>2642616</v>
      </c>
      <c r="C92" s="76" t="n">
        <v>55541</v>
      </c>
      <c r="D92" s="76" t="n">
        <v>0</v>
      </c>
      <c r="E92" s="76" t="n">
        <v>55541</v>
      </c>
      <c r="F92" s="75" t="n">
        <f aca="false">IF(D56="","",IF(3&gt;IF(D59="",10,D59),"",D56*(1+IF(D57="",0,D57))^ROUNDDOWN((3-1)/IF(D58="",5,D58),0)))</f>
        <v>55541</v>
      </c>
      <c r="G92" s="75" t="n">
        <f aca="false">IF(F92="","",IF((IF(D66="",IF($D$35="",0,$D$35),D66))=0,0,MAX(0,2642616-(IF(D67&lt;&gt;"",D67,IF($D$37&lt;&gt;"",$D$37,IF((IF(D66="",IF($D$35="",0,$D$35),D66))=0,0,D56/(IF(D66="",IF($D$35="",0,$D$35),D66)))))))*(IF(D66="",IF($D$35="",0,$D$35),D66))))</f>
        <v>0</v>
      </c>
      <c r="H92" s="75" t="n">
        <f aca="false">IF(F92="","",F92+G92)</f>
        <v>55541</v>
      </c>
      <c r="I92" s="75" t="str">
        <f aca="false">IF(E56="","",IF(3&gt;IF(E59="",10,E59),"",E56*(1+IF(E57="",0,E57))^ROUNDDOWN((3-1)/IF(E58="",5,E58),0)))</f>
        <v/>
      </c>
      <c r="J92" s="75" t="str">
        <f aca="false">IF(I92="","",IF((IF(E66="",IF($D$35="",0,$D$35),E66))=0,0,MAX(0,2642616-(IF(E67&lt;&gt;"",E67,IF($D$37&lt;&gt;"",$D$37,IF((IF(E66="",IF($D$35="",0,$D$35),E66))=0,0,E56/(IF(E66="",IF($D$35="",0,$D$35),E66)))))))*(IF(E66="",IF($D$35="",0,$D$35),E66))))</f>
        <v/>
      </c>
      <c r="K92" s="75" t="str">
        <f aca="false">IF(I92="","",I92+J92)</f>
        <v/>
      </c>
      <c r="L92" s="75" t="str">
        <f aca="false">IF(F56="","",IF(3&gt;IF(F59="",10,F59),"",F56*(1+IF(F57="",0,F57))^ROUNDDOWN((3-1)/IF(F58="",5,F58),0)))</f>
        <v/>
      </c>
      <c r="M92" s="75" t="str">
        <f aca="false">IF(L92="","",IF((IF(F66="",IF($D$35="",0,$D$35),F66))=0,0,MAX(0,2642616-(IF(F67&lt;&gt;"",F67,IF($D$37&lt;&gt;"",$D$37,IF((IF(F66="",IF($D$35="",0,$D$35),F66))=0,0,F56/(IF(F66="",IF($D$35="",0,$D$35),F66)))))))*(IF(F66="",IF($D$35="",0,$D$35),F66))))</f>
        <v/>
      </c>
      <c r="N92" s="75" t="str">
        <f aca="false">IF(L92="","",L92+M92)</f>
        <v/>
      </c>
      <c r="O92" s="75" t="str">
        <f aca="false">IF(G56="","",IF(3&gt;IF(G59="",10,G59),"",G56*(1+IF(G57="",0,G57))^ROUNDDOWN((3-1)/IF(G58="",5,G58),0)))</f>
        <v/>
      </c>
      <c r="P92" s="75" t="str">
        <f aca="false">IF(O92="","",IF((IF(G66="",IF($D$35="",0,$D$35),G66))=0,0,MAX(0,2642616-(IF(G67&lt;&gt;"",G67,IF($D$37&lt;&gt;"",$D$37,IF((IF(G66="",IF($D$35="",0,$D$35),G66))=0,0,G56/(IF(G66="",IF($D$35="",0,$D$35),G66)))))))*(IF(G66="",IF($D$35="",0,$D$35),G66))))</f>
        <v/>
      </c>
      <c r="Q92" s="75" t="str">
        <f aca="false">IF(O92="","",O92+P92)</f>
        <v/>
      </c>
      <c r="R92" s="75" t="str">
        <f aca="false">IF(H56="","",IF(3&gt;IF(H59="",10,H59),"",H56*(1+IF(H57="",0,H57))^ROUNDDOWN((3-1)/IF(H58="",5,H58),0)))</f>
        <v/>
      </c>
      <c r="S92" s="75" t="str">
        <f aca="false">IF(R92="","",IF((IF(H66="",IF($D$35="",0,$D$35),H66))=0,0,MAX(0,2642616-(IF(H67&lt;&gt;"",H67,IF($D$37&lt;&gt;"",$D$37,IF((IF(H66="",IF($D$35="",0,$D$35),H66))=0,0,H56/(IF(H66="",IF($D$35="",0,$D$35),H66)))))))*(IF(H66="",IF($D$35="",0,$D$35),H66))))</f>
        <v/>
      </c>
      <c r="T92" s="75" t="str">
        <f aca="false">IF(R92="","",R92+S92)</f>
        <v/>
      </c>
    </row>
    <row r="93" customFormat="false" ht="15" hidden="false" customHeight="false" outlineLevel="0" collapsed="false">
      <c r="A93" s="74" t="n">
        <v>4</v>
      </c>
      <c r="B93" s="75" t="n">
        <v>2695468</v>
      </c>
      <c r="C93" s="76" t="n">
        <v>55541</v>
      </c>
      <c r="D93" s="76" t="n">
        <v>0</v>
      </c>
      <c r="E93" s="76" t="n">
        <v>55541</v>
      </c>
      <c r="F93" s="75" t="n">
        <f aca="false">IF(D56="","",IF(4&gt;IF(D59="",10,D59),"",D56*(1+IF(D57="",0,D57))^ROUNDDOWN((4-1)/IF(D58="",5,D58),0)))</f>
        <v>55541</v>
      </c>
      <c r="G93" s="75" t="n">
        <f aca="false">IF(F93="","",IF((IF(D66="",IF($D$35="",0,$D$35),D66))=0,0,MAX(0,2695468.32-(IF(D67&lt;&gt;"",D67,IF($D$37&lt;&gt;"",$D$37,IF((IF(D66="",IF($D$35="",0,$D$35),D66))=0,0,D56/(IF(D66="",IF($D$35="",0,$D$35),D66)))))))*(IF(D66="",IF($D$35="",0,$D$35),D66))))</f>
        <v>0</v>
      </c>
      <c r="H93" s="75" t="n">
        <f aca="false">IF(F93="","",F93+G93)</f>
        <v>55541</v>
      </c>
      <c r="I93" s="75" t="str">
        <f aca="false">IF(E56="","",IF(4&gt;IF(E59="",10,E59),"",E56*(1+IF(E57="",0,E57))^ROUNDDOWN((4-1)/IF(E58="",5,E58),0)))</f>
        <v/>
      </c>
      <c r="J93" s="75" t="str">
        <f aca="false">IF(I93="","",IF((IF(E66="",IF($D$35="",0,$D$35),E66))=0,0,MAX(0,2695468.32-(IF(E67&lt;&gt;"",E67,IF($D$37&lt;&gt;"",$D$37,IF((IF(E66="",IF($D$35="",0,$D$35),E66))=0,0,E56/(IF(E66="",IF($D$35="",0,$D$35),E66)))))))*(IF(E66="",IF($D$35="",0,$D$35),E66))))</f>
        <v/>
      </c>
      <c r="K93" s="75" t="str">
        <f aca="false">IF(I93="","",I93+J93)</f>
        <v/>
      </c>
      <c r="L93" s="75" t="str">
        <f aca="false">IF(F56="","",IF(4&gt;IF(F59="",10,F59),"",F56*(1+IF(F57="",0,F57))^ROUNDDOWN((4-1)/IF(F58="",5,F58),0)))</f>
        <v/>
      </c>
      <c r="M93" s="75" t="str">
        <f aca="false">IF(L93="","",IF((IF(F66="",IF($D$35="",0,$D$35),F66))=0,0,MAX(0,2695468.32-(IF(F67&lt;&gt;"",F67,IF($D$37&lt;&gt;"",$D$37,IF((IF(F66="",IF($D$35="",0,$D$35),F66))=0,0,F56/(IF(F66="",IF($D$35="",0,$D$35),F66)))))))*(IF(F66="",IF($D$35="",0,$D$35),F66))))</f>
        <v/>
      </c>
      <c r="N93" s="75" t="str">
        <f aca="false">IF(L93="","",L93+M93)</f>
        <v/>
      </c>
      <c r="O93" s="75" t="str">
        <f aca="false">IF(G56="","",IF(4&gt;IF(G59="",10,G59),"",G56*(1+IF(G57="",0,G57))^ROUNDDOWN((4-1)/IF(G58="",5,G58),0)))</f>
        <v/>
      </c>
      <c r="P93" s="75" t="str">
        <f aca="false">IF(O93="","",IF((IF(G66="",IF($D$35="",0,$D$35),G66))=0,0,MAX(0,2695468.32-(IF(G67&lt;&gt;"",G67,IF($D$37&lt;&gt;"",$D$37,IF((IF(G66="",IF($D$35="",0,$D$35),G66))=0,0,G56/(IF(G66="",IF($D$35="",0,$D$35),G66)))))))*(IF(G66="",IF($D$35="",0,$D$35),G66))))</f>
        <v/>
      </c>
      <c r="Q93" s="75" t="str">
        <f aca="false">IF(O93="","",O93+P93)</f>
        <v/>
      </c>
      <c r="R93" s="75" t="str">
        <f aca="false">IF(H56="","",IF(4&gt;IF(H59="",10,H59),"",H56*(1+IF(H57="",0,H57))^ROUNDDOWN((4-1)/IF(H58="",5,H58),0)))</f>
        <v/>
      </c>
      <c r="S93" s="75" t="str">
        <f aca="false">IF(R93="","",IF((IF(H66="",IF($D$35="",0,$D$35),H66))=0,0,MAX(0,2695468.32-(IF(H67&lt;&gt;"",H67,IF($D$37&lt;&gt;"",$D$37,IF((IF(H66="",IF($D$35="",0,$D$35),H66))=0,0,H56/(IF(H66="",IF($D$35="",0,$D$35),H66)))))))*(IF(H66="",IF($D$35="",0,$D$35),H66))))</f>
        <v/>
      </c>
      <c r="T93" s="75" t="str">
        <f aca="false">IF(R93="","",R93+S93)</f>
        <v/>
      </c>
    </row>
    <row r="94" customFormat="false" ht="15" hidden="false" customHeight="false" outlineLevel="0" collapsed="false">
      <c r="A94" s="74" t="n">
        <v>5</v>
      </c>
      <c r="B94" s="75" t="n">
        <v>2749378</v>
      </c>
      <c r="C94" s="76" t="n">
        <v>55541</v>
      </c>
      <c r="D94" s="76" t="n">
        <v>0</v>
      </c>
      <c r="E94" s="76" t="n">
        <v>55541</v>
      </c>
      <c r="F94" s="75" t="n">
        <f aca="false">IF(D56="","",IF(5&gt;IF(D59="",10,D59),"",D56*(1+IF(D57="",0,D57))^ROUNDDOWN((5-1)/IF(D58="",5,D58),0)))</f>
        <v>55541</v>
      </c>
      <c r="G94" s="75" t="n">
        <f aca="false">IF(F94="","",IF((IF(D66="",IF($D$35="",0,$D$35),D66))=0,0,MAX(0,2749377.69-(IF(D67&lt;&gt;"",D67,IF($D$37&lt;&gt;"",$D$37,IF((IF(D66="",IF($D$35="",0,$D$35),D66))=0,0,D56/(IF(D66="",IF($D$35="",0,$D$35),D66)))))))*(IF(D66="",IF($D$35="",0,$D$35),D66))))</f>
        <v>0</v>
      </c>
      <c r="H94" s="75" t="n">
        <f aca="false">IF(F94="","",F94+G94)</f>
        <v>55541</v>
      </c>
      <c r="I94" s="75" t="str">
        <f aca="false">IF(E56="","",IF(5&gt;IF(E59="",10,E59),"",E56*(1+IF(E57="",0,E57))^ROUNDDOWN((5-1)/IF(E58="",5,E58),0)))</f>
        <v/>
      </c>
      <c r="J94" s="75" t="str">
        <f aca="false">IF(I94="","",IF((IF(E66="",IF($D$35="",0,$D$35),E66))=0,0,MAX(0,2749377.69-(IF(E67&lt;&gt;"",E67,IF($D$37&lt;&gt;"",$D$37,IF((IF(E66="",IF($D$35="",0,$D$35),E66))=0,0,E56/(IF(E66="",IF($D$35="",0,$D$35),E66)))))))*(IF(E66="",IF($D$35="",0,$D$35),E66))))</f>
        <v/>
      </c>
      <c r="K94" s="75" t="str">
        <f aca="false">IF(I94="","",I94+J94)</f>
        <v/>
      </c>
      <c r="L94" s="75" t="str">
        <f aca="false">IF(F56="","",IF(5&gt;IF(F59="",10,F59),"",F56*(1+IF(F57="",0,F57))^ROUNDDOWN((5-1)/IF(F58="",5,F58),0)))</f>
        <v/>
      </c>
      <c r="M94" s="75" t="str">
        <f aca="false">IF(L94="","",IF((IF(F66="",IF($D$35="",0,$D$35),F66))=0,0,MAX(0,2749377.69-(IF(F67&lt;&gt;"",F67,IF($D$37&lt;&gt;"",$D$37,IF((IF(F66="",IF($D$35="",0,$D$35),F66))=0,0,F56/(IF(F66="",IF($D$35="",0,$D$35),F66)))))))*(IF(F66="",IF($D$35="",0,$D$35),F66))))</f>
        <v/>
      </c>
      <c r="N94" s="75" t="str">
        <f aca="false">IF(L94="","",L94+M94)</f>
        <v/>
      </c>
      <c r="O94" s="75" t="str">
        <f aca="false">IF(G56="","",IF(5&gt;IF(G59="",10,G59),"",G56*(1+IF(G57="",0,G57))^ROUNDDOWN((5-1)/IF(G58="",5,G58),0)))</f>
        <v/>
      </c>
      <c r="P94" s="75" t="str">
        <f aca="false">IF(O94="","",IF((IF(G66="",IF($D$35="",0,$D$35),G66))=0,0,MAX(0,2749377.69-(IF(G67&lt;&gt;"",G67,IF($D$37&lt;&gt;"",$D$37,IF((IF(G66="",IF($D$35="",0,$D$35),G66))=0,0,G56/(IF(G66="",IF($D$35="",0,$D$35),G66)))))))*(IF(G66="",IF($D$35="",0,$D$35),G66))))</f>
        <v/>
      </c>
      <c r="Q94" s="75" t="str">
        <f aca="false">IF(O94="","",O94+P94)</f>
        <v/>
      </c>
      <c r="R94" s="75" t="str">
        <f aca="false">IF(H56="","",IF(5&gt;IF(H59="",10,H59),"",H56*(1+IF(H57="",0,H57))^ROUNDDOWN((5-1)/IF(H58="",5,H58),0)))</f>
        <v/>
      </c>
      <c r="S94" s="75" t="str">
        <f aca="false">IF(R94="","",IF((IF(H66="",IF($D$35="",0,$D$35),H66))=0,0,MAX(0,2749377.69-(IF(H67&lt;&gt;"",H67,IF($D$37&lt;&gt;"",$D$37,IF((IF(H66="",IF($D$35="",0,$D$35),H66))=0,0,H56/(IF(H66="",IF($D$35="",0,$D$35),H66)))))))*(IF(H66="",IF($D$35="",0,$D$35),H66))))</f>
        <v/>
      </c>
      <c r="T94" s="75" t="str">
        <f aca="false">IF(R94="","",R94+S94)</f>
        <v/>
      </c>
    </row>
    <row r="95" customFormat="false" ht="15" hidden="false" customHeight="false" outlineLevel="0" collapsed="false">
      <c r="A95" s="74" t="n">
        <v>6</v>
      </c>
      <c r="B95" s="75" t="n">
        <v>2804365</v>
      </c>
      <c r="C95" s="76" t="n">
        <v>59984</v>
      </c>
      <c r="D95" s="76" t="n">
        <v>0</v>
      </c>
      <c r="E95" s="76" t="n">
        <v>59984</v>
      </c>
      <c r="F95" s="75" t="n">
        <f aca="false">IF(D56="","",IF(6&gt;IF(D59="",10,D59),"",D56*(1+IF(D57="",0,D57))^ROUNDDOWN((6-1)/IF(D58="",5,D58),0)))</f>
        <v>56651.82</v>
      </c>
      <c r="G95" s="75" t="n">
        <f aca="false">IF(F95="","",IF((IF(D66="",IF($D$35="",0,$D$35),D66))=0,0,MAX(0,2804365.24-(IF(D67&lt;&gt;"",D67,IF($D$37&lt;&gt;"",$D$37,IF((IF(D66="",IF($D$35="",0,$D$35),D66))=0,0,D56/(IF(D66="",IF($D$35="",0,$D$35),D66)))))))*(IF(D66="",IF($D$35="",0,$D$35),D66))))</f>
        <v>0</v>
      </c>
      <c r="H95" s="75" t="n">
        <f aca="false">IF(F95="","",F95+G95)</f>
        <v>56651.82</v>
      </c>
      <c r="I95" s="75" t="str">
        <f aca="false">IF(E56="","",IF(6&gt;IF(E59="",10,E59),"",E56*(1+IF(E57="",0,E57))^ROUNDDOWN((6-1)/IF(E58="",5,E58),0)))</f>
        <v/>
      </c>
      <c r="J95" s="75" t="str">
        <f aca="false">IF(I95="","",IF((IF(E66="",IF($D$35="",0,$D$35),E66))=0,0,MAX(0,2804365.24-(IF(E67&lt;&gt;"",E67,IF($D$37&lt;&gt;"",$D$37,IF((IF(E66="",IF($D$35="",0,$D$35),E66))=0,0,E56/(IF(E66="",IF($D$35="",0,$D$35),E66)))))))*(IF(E66="",IF($D$35="",0,$D$35),E66))))</f>
        <v/>
      </c>
      <c r="K95" s="75" t="str">
        <f aca="false">IF(I95="","",I95+J95)</f>
        <v/>
      </c>
      <c r="L95" s="75" t="str">
        <f aca="false">IF(F56="","",IF(6&gt;IF(F59="",10,F59),"",F56*(1+IF(F57="",0,F57))^ROUNDDOWN((6-1)/IF(F58="",5,F58),0)))</f>
        <v/>
      </c>
      <c r="M95" s="75" t="str">
        <f aca="false">IF(L95="","",IF((IF(F66="",IF($D$35="",0,$D$35),F66))=0,0,MAX(0,2804365.24-(IF(F67&lt;&gt;"",F67,IF($D$37&lt;&gt;"",$D$37,IF((IF(F66="",IF($D$35="",0,$D$35),F66))=0,0,F56/(IF(F66="",IF($D$35="",0,$D$35),F66)))))))*(IF(F66="",IF($D$35="",0,$D$35),F66))))</f>
        <v/>
      </c>
      <c r="N95" s="75" t="str">
        <f aca="false">IF(L95="","",L95+M95)</f>
        <v/>
      </c>
      <c r="O95" s="75" t="str">
        <f aca="false">IF(G56="","",IF(6&gt;IF(G59="",10,G59),"",G56*(1+IF(G57="",0,G57))^ROUNDDOWN((6-1)/IF(G58="",5,G58),0)))</f>
        <v/>
      </c>
      <c r="P95" s="75" t="str">
        <f aca="false">IF(O95="","",IF((IF(G66="",IF($D$35="",0,$D$35),G66))=0,0,MAX(0,2804365.24-(IF(G67&lt;&gt;"",G67,IF($D$37&lt;&gt;"",$D$37,IF((IF(G66="",IF($D$35="",0,$D$35),G66))=0,0,G56/(IF(G66="",IF($D$35="",0,$D$35),G66)))))))*(IF(G66="",IF($D$35="",0,$D$35),G66))))</f>
        <v/>
      </c>
      <c r="Q95" s="75" t="str">
        <f aca="false">IF(O95="","",O95+P95)</f>
        <v/>
      </c>
      <c r="R95" s="75" t="str">
        <f aca="false">IF(H56="","",IF(6&gt;IF(H59="",10,H59),"",H56*(1+IF(H57="",0,H57))^ROUNDDOWN((6-1)/IF(H58="",5,H58),0)))</f>
        <v/>
      </c>
      <c r="S95" s="75" t="str">
        <f aca="false">IF(R95="","",IF((IF(H66="",IF($D$35="",0,$D$35),H66))=0,0,MAX(0,2804365.24-(IF(H67&lt;&gt;"",H67,IF($D$37&lt;&gt;"",$D$37,IF((IF(H66="",IF($D$35="",0,$D$35),H66))=0,0,H56/(IF(H66="",IF($D$35="",0,$D$35),H66)))))))*(IF(H66="",IF($D$35="",0,$D$35),H66))))</f>
        <v/>
      </c>
      <c r="T95" s="75" t="str">
        <f aca="false">IF(R95="","",R95+S95)</f>
        <v/>
      </c>
    </row>
    <row r="96" customFormat="false" ht="15" hidden="false" customHeight="false" outlineLevel="0" collapsed="false">
      <c r="A96" s="74" t="n">
        <v>7</v>
      </c>
      <c r="B96" s="75" t="n">
        <v>2860453</v>
      </c>
      <c r="C96" s="76" t="n">
        <v>59984</v>
      </c>
      <c r="D96" s="76" t="n">
        <v>0</v>
      </c>
      <c r="E96" s="76" t="n">
        <v>59984</v>
      </c>
      <c r="F96" s="75" t="n">
        <f aca="false">IF(D56="","",IF(7&gt;IF(D59="",10,D59),"",D56*(1+IF(D57="",0,D57))^ROUNDDOWN((7-1)/IF(D58="",5,D58),0)))</f>
        <v>56651.82</v>
      </c>
      <c r="G96" s="75" t="n">
        <f aca="false">IF(F96="","",IF((IF(D66="",IF($D$35="",0,$D$35),D66))=0,0,MAX(0,2860452.54-(IF(D67&lt;&gt;"",D67,IF($D$37&lt;&gt;"",$D$37,IF((IF(D66="",IF($D$35="",0,$D$35),D66))=0,0,D56/(IF(D66="",IF($D$35="",0,$D$35),D66)))))))*(IF(D66="",IF($D$35="",0,$D$35),D66))))</f>
        <v>0</v>
      </c>
      <c r="H96" s="75" t="n">
        <f aca="false">IF(F96="","",F96+G96)</f>
        <v>56651.82</v>
      </c>
      <c r="I96" s="75" t="str">
        <f aca="false">IF(E56="","",IF(7&gt;IF(E59="",10,E59),"",E56*(1+IF(E57="",0,E57))^ROUNDDOWN((7-1)/IF(E58="",5,E58),0)))</f>
        <v/>
      </c>
      <c r="J96" s="75" t="str">
        <f aca="false">IF(I96="","",IF((IF(E66="",IF($D$35="",0,$D$35),E66))=0,0,MAX(0,2860452.54-(IF(E67&lt;&gt;"",E67,IF($D$37&lt;&gt;"",$D$37,IF((IF(E66="",IF($D$35="",0,$D$35),E66))=0,0,E56/(IF(E66="",IF($D$35="",0,$D$35),E66)))))))*(IF(E66="",IF($D$35="",0,$D$35),E66))))</f>
        <v/>
      </c>
      <c r="K96" s="75" t="str">
        <f aca="false">IF(I96="","",I96+J96)</f>
        <v/>
      </c>
      <c r="L96" s="75" t="str">
        <f aca="false">IF(F56="","",IF(7&gt;IF(F59="",10,F59),"",F56*(1+IF(F57="",0,F57))^ROUNDDOWN((7-1)/IF(F58="",5,F58),0)))</f>
        <v/>
      </c>
      <c r="M96" s="75" t="str">
        <f aca="false">IF(L96="","",IF((IF(F66="",IF($D$35="",0,$D$35),F66))=0,0,MAX(0,2860452.54-(IF(F67&lt;&gt;"",F67,IF($D$37&lt;&gt;"",$D$37,IF((IF(F66="",IF($D$35="",0,$D$35),F66))=0,0,F56/(IF(F66="",IF($D$35="",0,$D$35),F66)))))))*(IF(F66="",IF($D$35="",0,$D$35),F66))))</f>
        <v/>
      </c>
      <c r="N96" s="75" t="str">
        <f aca="false">IF(L96="","",L96+M96)</f>
        <v/>
      </c>
      <c r="O96" s="75" t="str">
        <f aca="false">IF(G56="","",IF(7&gt;IF(G59="",10,G59),"",G56*(1+IF(G57="",0,G57))^ROUNDDOWN((7-1)/IF(G58="",5,G58),0)))</f>
        <v/>
      </c>
      <c r="P96" s="75" t="str">
        <f aca="false">IF(O96="","",IF((IF(G66="",IF($D$35="",0,$D$35),G66))=0,0,MAX(0,2860452.54-(IF(G67&lt;&gt;"",G67,IF($D$37&lt;&gt;"",$D$37,IF((IF(G66="",IF($D$35="",0,$D$35),G66))=0,0,G56/(IF(G66="",IF($D$35="",0,$D$35),G66)))))))*(IF(G66="",IF($D$35="",0,$D$35),G66))))</f>
        <v/>
      </c>
      <c r="Q96" s="75" t="str">
        <f aca="false">IF(O96="","",O96+P96)</f>
        <v/>
      </c>
      <c r="R96" s="75" t="str">
        <f aca="false">IF(H56="","",IF(7&gt;IF(H59="",10,H59),"",H56*(1+IF(H57="",0,H57))^ROUNDDOWN((7-1)/IF(H58="",5,H58),0)))</f>
        <v/>
      </c>
      <c r="S96" s="75" t="str">
        <f aca="false">IF(R96="","",IF((IF(H66="",IF($D$35="",0,$D$35),H66))=0,0,MAX(0,2860452.54-(IF(H67&lt;&gt;"",H67,IF($D$37&lt;&gt;"",$D$37,IF((IF(H66="",IF($D$35="",0,$D$35),H66))=0,0,H56/(IF(H66="",IF($D$35="",0,$D$35),H66)))))))*(IF(H66="",IF($D$35="",0,$D$35),H66))))</f>
        <v/>
      </c>
      <c r="T96" s="75" t="str">
        <f aca="false">IF(R96="","",R96+S96)</f>
        <v/>
      </c>
    </row>
    <row r="97" customFormat="false" ht="15" hidden="false" customHeight="false" outlineLevel="0" collapsed="false">
      <c r="A97" s="74" t="n">
        <v>8</v>
      </c>
      <c r="B97" s="75" t="n">
        <v>2917662</v>
      </c>
      <c r="C97" s="76" t="n">
        <v>59984</v>
      </c>
      <c r="D97" s="76" t="n">
        <v>0</v>
      </c>
      <c r="E97" s="76" t="n">
        <v>59984</v>
      </c>
      <c r="F97" s="75" t="n">
        <f aca="false">IF(D56="","",IF(8&gt;IF(D59="",10,D59),"",D56*(1+IF(D57="",0,D57))^ROUNDDOWN((8-1)/IF(D58="",5,D58),0)))</f>
        <v>56651.82</v>
      </c>
      <c r="G97" s="75" t="n">
        <f aca="false">IF(F97="","",IF((IF(D66="",IF($D$35="",0,$D$35),D66))=0,0,MAX(0,2917661.6-(IF(D67&lt;&gt;"",D67,IF($D$37&lt;&gt;"",$D$37,IF((IF(D66="",IF($D$35="",0,$D$35),D66))=0,0,D56/(IF(D66="",IF($D$35="",0,$D$35),D66)))))))*(IF(D66="",IF($D$35="",0,$D$35),D66))))</f>
        <v>0</v>
      </c>
      <c r="H97" s="75" t="n">
        <f aca="false">IF(F97="","",F97+G97)</f>
        <v>56651.82</v>
      </c>
      <c r="I97" s="75" t="str">
        <f aca="false">IF(E56="","",IF(8&gt;IF(E59="",10,E59),"",E56*(1+IF(E57="",0,E57))^ROUNDDOWN((8-1)/IF(E58="",5,E58),0)))</f>
        <v/>
      </c>
      <c r="J97" s="75" t="str">
        <f aca="false">IF(I97="","",IF((IF(E66="",IF($D$35="",0,$D$35),E66))=0,0,MAX(0,2917661.6-(IF(E67&lt;&gt;"",E67,IF($D$37&lt;&gt;"",$D$37,IF((IF(E66="",IF($D$35="",0,$D$35),E66))=0,0,E56/(IF(E66="",IF($D$35="",0,$D$35),E66)))))))*(IF(E66="",IF($D$35="",0,$D$35),E66))))</f>
        <v/>
      </c>
      <c r="K97" s="75" t="str">
        <f aca="false">IF(I97="","",I97+J97)</f>
        <v/>
      </c>
      <c r="L97" s="75" t="str">
        <f aca="false">IF(F56="","",IF(8&gt;IF(F59="",10,F59),"",F56*(1+IF(F57="",0,F57))^ROUNDDOWN((8-1)/IF(F58="",5,F58),0)))</f>
        <v/>
      </c>
      <c r="M97" s="75" t="str">
        <f aca="false">IF(L97="","",IF((IF(F66="",IF($D$35="",0,$D$35),F66))=0,0,MAX(0,2917661.6-(IF(F67&lt;&gt;"",F67,IF($D$37&lt;&gt;"",$D$37,IF((IF(F66="",IF($D$35="",0,$D$35),F66))=0,0,F56/(IF(F66="",IF($D$35="",0,$D$35),F66)))))))*(IF(F66="",IF($D$35="",0,$D$35),F66))))</f>
        <v/>
      </c>
      <c r="N97" s="75" t="str">
        <f aca="false">IF(L97="","",L97+M97)</f>
        <v/>
      </c>
      <c r="O97" s="75" t="str">
        <f aca="false">IF(G56="","",IF(8&gt;IF(G59="",10,G59),"",G56*(1+IF(G57="",0,G57))^ROUNDDOWN((8-1)/IF(G58="",5,G58),0)))</f>
        <v/>
      </c>
      <c r="P97" s="75" t="str">
        <f aca="false">IF(O97="","",IF((IF(G66="",IF($D$35="",0,$D$35),G66))=0,0,MAX(0,2917661.6-(IF(G67&lt;&gt;"",G67,IF($D$37&lt;&gt;"",$D$37,IF((IF(G66="",IF($D$35="",0,$D$35),G66))=0,0,G56/(IF(G66="",IF($D$35="",0,$D$35),G66)))))))*(IF(G66="",IF($D$35="",0,$D$35),G66))))</f>
        <v/>
      </c>
      <c r="Q97" s="75" t="str">
        <f aca="false">IF(O97="","",O97+P97)</f>
        <v/>
      </c>
      <c r="R97" s="75" t="str">
        <f aca="false">IF(H56="","",IF(8&gt;IF(H59="",10,H59),"",H56*(1+IF(H57="",0,H57))^ROUNDDOWN((8-1)/IF(H58="",5,H58),0)))</f>
        <v/>
      </c>
      <c r="S97" s="75" t="str">
        <f aca="false">IF(R97="","",IF((IF(H66="",IF($D$35="",0,$D$35),H66))=0,0,MAX(0,2917661.6-(IF(H67&lt;&gt;"",H67,IF($D$37&lt;&gt;"",$D$37,IF((IF(H66="",IF($D$35="",0,$D$35),H66))=0,0,H56/(IF(H66="",IF($D$35="",0,$D$35),H66)))))))*(IF(H66="",IF($D$35="",0,$D$35),H66))))</f>
        <v/>
      </c>
      <c r="T97" s="75" t="str">
        <f aca="false">IF(R97="","",R97+S97)</f>
        <v/>
      </c>
    </row>
    <row r="98" customFormat="false" ht="15" hidden="false" customHeight="false" outlineLevel="0" collapsed="false">
      <c r="A98" s="74" t="n">
        <v>9</v>
      </c>
      <c r="B98" s="75" t="n">
        <v>2976015</v>
      </c>
      <c r="C98" s="76" t="n">
        <v>59984</v>
      </c>
      <c r="D98" s="76" t="n">
        <v>0</v>
      </c>
      <c r="E98" s="76" t="n">
        <v>59984</v>
      </c>
      <c r="F98" s="75" t="n">
        <f aca="false">IF(D56="","",IF(9&gt;IF(D59="",10,D59),"",D56*(1+IF(D57="",0,D57))^ROUNDDOWN((9-1)/IF(D58="",5,D58),0)))</f>
        <v>56651.82</v>
      </c>
      <c r="G98" s="75" t="n">
        <f aca="false">IF(F98="","",IF((IF(D66="",IF($D$35="",0,$D$35),D66))=0,0,MAX(0,2976014.83-(IF(D67&lt;&gt;"",D67,IF($D$37&lt;&gt;"",$D$37,IF((IF(D66="",IF($D$35="",0,$D$35),D66))=0,0,D56/(IF(D66="",IF($D$35="",0,$D$35),D66)))))))*(IF(D66="",IF($D$35="",0,$D$35),D66))))</f>
        <v>0</v>
      </c>
      <c r="H98" s="75" t="n">
        <f aca="false">IF(F98="","",F98+G98)</f>
        <v>56651.82</v>
      </c>
      <c r="I98" s="75" t="str">
        <f aca="false">IF(E56="","",IF(9&gt;IF(E59="",10,E59),"",E56*(1+IF(E57="",0,E57))^ROUNDDOWN((9-1)/IF(E58="",5,E58),0)))</f>
        <v/>
      </c>
      <c r="J98" s="75" t="str">
        <f aca="false">IF(I98="","",IF((IF(E66="",IF($D$35="",0,$D$35),E66))=0,0,MAX(0,2976014.83-(IF(E67&lt;&gt;"",E67,IF($D$37&lt;&gt;"",$D$37,IF((IF(E66="",IF($D$35="",0,$D$35),E66))=0,0,E56/(IF(E66="",IF($D$35="",0,$D$35),E66)))))))*(IF(E66="",IF($D$35="",0,$D$35),E66))))</f>
        <v/>
      </c>
      <c r="K98" s="75" t="str">
        <f aca="false">IF(I98="","",I98+J98)</f>
        <v/>
      </c>
      <c r="L98" s="75" t="str">
        <f aca="false">IF(F56="","",IF(9&gt;IF(F59="",10,F59),"",F56*(1+IF(F57="",0,F57))^ROUNDDOWN((9-1)/IF(F58="",5,F58),0)))</f>
        <v/>
      </c>
      <c r="M98" s="75" t="str">
        <f aca="false">IF(L98="","",IF((IF(F66="",IF($D$35="",0,$D$35),F66))=0,0,MAX(0,2976014.83-(IF(F67&lt;&gt;"",F67,IF($D$37&lt;&gt;"",$D$37,IF((IF(F66="",IF($D$35="",0,$D$35),F66))=0,0,F56/(IF(F66="",IF($D$35="",0,$D$35),F66)))))))*(IF(F66="",IF($D$35="",0,$D$35),F66))))</f>
        <v/>
      </c>
      <c r="N98" s="75" t="str">
        <f aca="false">IF(L98="","",L98+M98)</f>
        <v/>
      </c>
      <c r="O98" s="75" t="str">
        <f aca="false">IF(G56="","",IF(9&gt;IF(G59="",10,G59),"",G56*(1+IF(G57="",0,G57))^ROUNDDOWN((9-1)/IF(G58="",5,G58),0)))</f>
        <v/>
      </c>
      <c r="P98" s="75" t="str">
        <f aca="false">IF(O98="","",IF((IF(G66="",IF($D$35="",0,$D$35),G66))=0,0,MAX(0,2976014.83-(IF(G67&lt;&gt;"",G67,IF($D$37&lt;&gt;"",$D$37,IF((IF(G66="",IF($D$35="",0,$D$35),G66))=0,0,G56/(IF(G66="",IF($D$35="",0,$D$35),G66)))))))*(IF(G66="",IF($D$35="",0,$D$35),G66))))</f>
        <v/>
      </c>
      <c r="Q98" s="75" t="str">
        <f aca="false">IF(O98="","",O98+P98)</f>
        <v/>
      </c>
      <c r="R98" s="75" t="str">
        <f aca="false">IF(H56="","",IF(9&gt;IF(H59="",10,H59),"",H56*(1+IF(H57="",0,H57))^ROUNDDOWN((9-1)/IF(H58="",5,H58),0)))</f>
        <v/>
      </c>
      <c r="S98" s="75" t="str">
        <f aca="false">IF(R98="","",IF((IF(H66="",IF($D$35="",0,$D$35),H66))=0,0,MAX(0,2976014.83-(IF(H67&lt;&gt;"",H67,IF($D$37&lt;&gt;"",$D$37,IF((IF(H66="",IF($D$35="",0,$D$35),H66))=0,0,H56/(IF(H66="",IF($D$35="",0,$D$35),H66)))))))*(IF(H66="",IF($D$35="",0,$D$35),H66))))</f>
        <v/>
      </c>
      <c r="T98" s="75" t="str">
        <f aca="false">IF(R98="","",R98+S98)</f>
        <v/>
      </c>
    </row>
    <row r="99" customFormat="false" ht="15" hidden="false" customHeight="false" outlineLevel="0" collapsed="false">
      <c r="A99" s="74" t="n">
        <v>10</v>
      </c>
      <c r="B99" s="75" t="n">
        <v>3035535</v>
      </c>
      <c r="C99" s="76" t="n">
        <v>59984</v>
      </c>
      <c r="D99" s="76" t="n">
        <v>0</v>
      </c>
      <c r="E99" s="76" t="n">
        <v>59984</v>
      </c>
      <c r="F99" s="75" t="n">
        <f aca="false">IF(D56="","",IF(10&gt;IF(D59="",10,D59),"",D56*(1+IF(D57="",0,D57))^ROUNDDOWN((10-1)/IF(D58="",5,D58),0)))</f>
        <v>56651.82</v>
      </c>
      <c r="G99" s="75" t="n">
        <f aca="false">IF(F99="","",IF((IF(D66="",IF($D$35="",0,$D$35),D66))=0,0,MAX(0,3035535.12-(IF(D67&lt;&gt;"",D67,IF($D$37&lt;&gt;"",$D$37,IF((IF(D66="",IF($D$35="",0,$D$35),D66))=0,0,D56/(IF(D66="",IF($D$35="",0,$D$35),D66)))))))*(IF(D66="",IF($D$35="",0,$D$35),D66))))</f>
        <v>0</v>
      </c>
      <c r="H99" s="75" t="n">
        <f aca="false">IF(F99="","",F99+G99)</f>
        <v>56651.82</v>
      </c>
      <c r="I99" s="75" t="str">
        <f aca="false">IF(E56="","",IF(10&gt;IF(E59="",10,E59),"",E56*(1+IF(E57="",0,E57))^ROUNDDOWN((10-1)/IF(E58="",5,E58),0)))</f>
        <v/>
      </c>
      <c r="J99" s="75" t="str">
        <f aca="false">IF(I99="","",IF((IF(E66="",IF($D$35="",0,$D$35),E66))=0,0,MAX(0,3035535.12-(IF(E67&lt;&gt;"",E67,IF($D$37&lt;&gt;"",$D$37,IF((IF(E66="",IF($D$35="",0,$D$35),E66))=0,0,E56/(IF(E66="",IF($D$35="",0,$D$35),E66)))))))*(IF(E66="",IF($D$35="",0,$D$35),E66))))</f>
        <v/>
      </c>
      <c r="K99" s="75" t="str">
        <f aca="false">IF(I99="","",I99+J99)</f>
        <v/>
      </c>
      <c r="L99" s="75" t="str">
        <f aca="false">IF(F56="","",IF(10&gt;IF(F59="",10,F59),"",F56*(1+IF(F57="",0,F57))^ROUNDDOWN((10-1)/IF(F58="",5,F58),0)))</f>
        <v/>
      </c>
      <c r="M99" s="75" t="str">
        <f aca="false">IF(L99="","",IF((IF(F66="",IF($D$35="",0,$D$35),F66))=0,0,MAX(0,3035535.12-(IF(F67&lt;&gt;"",F67,IF($D$37&lt;&gt;"",$D$37,IF((IF(F66="",IF($D$35="",0,$D$35),F66))=0,0,F56/(IF(F66="",IF($D$35="",0,$D$35),F66)))))))*(IF(F66="",IF($D$35="",0,$D$35),F66))))</f>
        <v/>
      </c>
      <c r="N99" s="75" t="str">
        <f aca="false">IF(L99="","",L99+M99)</f>
        <v/>
      </c>
      <c r="O99" s="75" t="str">
        <f aca="false">IF(G56="","",IF(10&gt;IF(G59="",10,G59),"",G56*(1+IF(G57="",0,G57))^ROUNDDOWN((10-1)/IF(G58="",5,G58),0)))</f>
        <v/>
      </c>
      <c r="P99" s="75" t="str">
        <f aca="false">IF(O99="","",IF((IF(G66="",IF($D$35="",0,$D$35),G66))=0,0,MAX(0,3035535.12-(IF(G67&lt;&gt;"",G67,IF($D$37&lt;&gt;"",$D$37,IF((IF(G66="",IF($D$35="",0,$D$35),G66))=0,0,G56/(IF(G66="",IF($D$35="",0,$D$35),G66)))))))*(IF(G66="",IF($D$35="",0,$D$35),G66))))</f>
        <v/>
      </c>
      <c r="Q99" s="75" t="str">
        <f aca="false">IF(O99="","",O99+P99)</f>
        <v/>
      </c>
      <c r="R99" s="75" t="str">
        <f aca="false">IF(H56="","",IF(10&gt;IF(H59="",10,H59),"",H56*(1+IF(H57="",0,H57))^ROUNDDOWN((10-1)/IF(H58="",5,H58),0)))</f>
        <v/>
      </c>
      <c r="S99" s="75" t="str">
        <f aca="false">IF(R99="","",IF((IF(H66="",IF($D$35="",0,$D$35),H66))=0,0,MAX(0,3035535.12-(IF(H67&lt;&gt;"",H67,IF($D$37&lt;&gt;"",$D$37,IF((IF(H66="",IF($D$35="",0,$D$35),H66))=0,0,H56/(IF(H66="",IF($D$35="",0,$D$35),H66)))))))*(IF(H66="",IF($D$35="",0,$D$35),H66))))</f>
        <v/>
      </c>
      <c r="T99" s="75" t="str">
        <f aca="false">IF(R99="","",R99+S99)</f>
        <v/>
      </c>
    </row>
    <row r="100" customFormat="false" ht="15" hidden="false" customHeight="false" outlineLevel="0" collapsed="false">
      <c r="A100" s="74" t="n">
        <v>11</v>
      </c>
      <c r="B100" s="75" t="n">
        <v>3096246</v>
      </c>
      <c r="C100" s="76" t="n">
        <v>64782</v>
      </c>
      <c r="D100" s="76" t="n">
        <v>0</v>
      </c>
      <c r="E100" s="76" t="n">
        <v>64782</v>
      </c>
      <c r="F100" s="75" t="n">
        <f aca="false">IF(D56="","",IF(11&gt;IF(D59="",10,D59),"",D56*(1+IF(D57="",0,D57))^ROUNDDOWN((11-1)/IF(D58="",5,D58),0)))</f>
        <v>57784.8564</v>
      </c>
      <c r="G100" s="75" t="n">
        <f aca="false">IF(F100="","",IF((IF(D66="",IF($D$35="",0,$D$35),D66))=0,0,MAX(0,3096245.83-(IF(D67&lt;&gt;"",D67,IF($D$37&lt;&gt;"",$D$37,IF((IF(D66="",IF($D$35="",0,$D$35),D66))=0,0,D56/(IF(D66="",IF($D$35="",0,$D$35),D66)))))))*(IF(D66="",IF($D$35="",0,$D$35),D66))))</f>
        <v>0</v>
      </c>
      <c r="H100" s="75" t="n">
        <f aca="false">IF(F100="","",F100+G100)</f>
        <v>57784.8564</v>
      </c>
      <c r="I100" s="75" t="str">
        <f aca="false">IF(E56="","",IF(11&gt;IF(E59="",10,E59),"",E56*(1+IF(E57="",0,E57))^ROUNDDOWN((11-1)/IF(E58="",5,E58),0)))</f>
        <v/>
      </c>
      <c r="J100" s="75" t="str">
        <f aca="false">IF(I100="","",IF((IF(E66="",IF($D$35="",0,$D$35),E66))=0,0,MAX(0,3096245.83-(IF(E67&lt;&gt;"",E67,IF($D$37&lt;&gt;"",$D$37,IF((IF(E66="",IF($D$35="",0,$D$35),E66))=0,0,E56/(IF(E66="",IF($D$35="",0,$D$35),E66)))))))*(IF(E66="",IF($D$35="",0,$D$35),E66))))</f>
        <v/>
      </c>
      <c r="K100" s="75" t="str">
        <f aca="false">IF(I100="","",I100+J100)</f>
        <v/>
      </c>
      <c r="L100" s="75" t="str">
        <f aca="false">IF(F56="","",IF(11&gt;IF(F59="",10,F59),"",F56*(1+IF(F57="",0,F57))^ROUNDDOWN((11-1)/IF(F58="",5,F58),0)))</f>
        <v/>
      </c>
      <c r="M100" s="75" t="str">
        <f aca="false">IF(L100="","",IF((IF(F66="",IF($D$35="",0,$D$35),F66))=0,0,MAX(0,3096245.83-(IF(F67&lt;&gt;"",F67,IF($D$37&lt;&gt;"",$D$37,IF((IF(F66="",IF($D$35="",0,$D$35),F66))=0,0,F56/(IF(F66="",IF($D$35="",0,$D$35),F66)))))))*(IF(F66="",IF($D$35="",0,$D$35),F66))))</f>
        <v/>
      </c>
      <c r="N100" s="75" t="str">
        <f aca="false">IF(L100="","",L100+M100)</f>
        <v/>
      </c>
      <c r="O100" s="75" t="str">
        <f aca="false">IF(G56="","",IF(11&gt;IF(G59="",10,G59),"",G56*(1+IF(G57="",0,G57))^ROUNDDOWN((11-1)/IF(G58="",5,G58),0)))</f>
        <v/>
      </c>
      <c r="P100" s="75" t="str">
        <f aca="false">IF(O100="","",IF((IF(G66="",IF($D$35="",0,$D$35),G66))=0,0,MAX(0,3096245.83-(IF(G67&lt;&gt;"",G67,IF($D$37&lt;&gt;"",$D$37,IF((IF(G66="",IF($D$35="",0,$D$35),G66))=0,0,G56/(IF(G66="",IF($D$35="",0,$D$35),G66)))))))*(IF(G66="",IF($D$35="",0,$D$35),G66))))</f>
        <v/>
      </c>
      <c r="Q100" s="75" t="str">
        <f aca="false">IF(O100="","",O100+P100)</f>
        <v/>
      </c>
      <c r="R100" s="75" t="str">
        <f aca="false">IF(H56="","",IF(11&gt;IF(H59="",10,H59),"",H56*(1+IF(H57="",0,H57))^ROUNDDOWN((11-1)/IF(H58="",5,H58),0)))</f>
        <v/>
      </c>
      <c r="S100" s="75" t="str">
        <f aca="false">IF(R100="","",IF((IF(H66="",IF($D$35="",0,$D$35),H66))=0,0,MAX(0,3096245.83-(IF(H67&lt;&gt;"",H67,IF($D$37&lt;&gt;"",$D$37,IF((IF(H66="",IF($D$35="",0,$D$35),H66))=0,0,H56/(IF(H66="",IF($D$35="",0,$D$35),H66)))))))*(IF(H66="",IF($D$35="",0,$D$35),H66))))</f>
        <v/>
      </c>
      <c r="T100" s="75" t="str">
        <f aca="false">IF(R100="","",R100+S100)</f>
        <v/>
      </c>
    </row>
    <row r="101" customFormat="false" ht="15" hidden="false" customHeight="false" outlineLevel="0" collapsed="false">
      <c r="A101" s="74" t="n">
        <v>12</v>
      </c>
      <c r="B101" s="75" t="n">
        <v>3158171</v>
      </c>
      <c r="C101" s="76" t="n">
        <v>64782</v>
      </c>
      <c r="D101" s="76" t="n">
        <v>0</v>
      </c>
      <c r="E101" s="76" t="n">
        <v>64782</v>
      </c>
      <c r="F101" s="75" t="n">
        <f aca="false">IF(D56="","",IF(12&gt;IF(D59="",10,D59),"",D56*(1+IF(D57="",0,D57))^ROUNDDOWN((12-1)/IF(D58="",5,D58),0)))</f>
        <v>57784.8564</v>
      </c>
      <c r="G101" s="75" t="n">
        <f aca="false">IF(F101="","",IF((IF(D66="",IF($D$35="",0,$D$35),D66))=0,0,MAX(0,3158170.74-(IF(D67&lt;&gt;"",D67,IF($D$37&lt;&gt;"",$D$37,IF((IF(D66="",IF($D$35="",0,$D$35),D66))=0,0,D56/(IF(D66="",IF($D$35="",0,$D$35),D66)))))))*(IF(D66="",IF($D$35="",0,$D$35),D66))))</f>
        <v>0</v>
      </c>
      <c r="H101" s="75" t="n">
        <f aca="false">IF(F101="","",F101+G101)</f>
        <v>57784.8564</v>
      </c>
      <c r="I101" s="75" t="str">
        <f aca="false">IF(E56="","",IF(12&gt;IF(E59="",10,E59),"",E56*(1+IF(E57="",0,E57))^ROUNDDOWN((12-1)/IF(E58="",5,E58),0)))</f>
        <v/>
      </c>
      <c r="J101" s="75" t="str">
        <f aca="false">IF(I101="","",IF((IF(E66="",IF($D$35="",0,$D$35),E66))=0,0,MAX(0,3158170.74-(IF(E67&lt;&gt;"",E67,IF($D$37&lt;&gt;"",$D$37,IF((IF(E66="",IF($D$35="",0,$D$35),E66))=0,0,E56/(IF(E66="",IF($D$35="",0,$D$35),E66)))))))*(IF(E66="",IF($D$35="",0,$D$35),E66))))</f>
        <v/>
      </c>
      <c r="K101" s="75" t="str">
        <f aca="false">IF(I101="","",I101+J101)</f>
        <v/>
      </c>
      <c r="L101" s="75" t="str">
        <f aca="false">IF(F56="","",IF(12&gt;IF(F59="",10,F59),"",F56*(1+IF(F57="",0,F57))^ROUNDDOWN((12-1)/IF(F58="",5,F58),0)))</f>
        <v/>
      </c>
      <c r="M101" s="75" t="str">
        <f aca="false">IF(L101="","",IF((IF(F66="",IF($D$35="",0,$D$35),F66))=0,0,MAX(0,3158170.74-(IF(F67&lt;&gt;"",F67,IF($D$37&lt;&gt;"",$D$37,IF((IF(F66="",IF($D$35="",0,$D$35),F66))=0,0,F56/(IF(F66="",IF($D$35="",0,$D$35),F66)))))))*(IF(F66="",IF($D$35="",0,$D$35),F66))))</f>
        <v/>
      </c>
      <c r="N101" s="75" t="str">
        <f aca="false">IF(L101="","",L101+M101)</f>
        <v/>
      </c>
      <c r="O101" s="75" t="str">
        <f aca="false">IF(G56="","",IF(12&gt;IF(G59="",10,G59),"",G56*(1+IF(G57="",0,G57))^ROUNDDOWN((12-1)/IF(G58="",5,G58),0)))</f>
        <v/>
      </c>
      <c r="P101" s="75" t="str">
        <f aca="false">IF(O101="","",IF((IF(G66="",IF($D$35="",0,$D$35),G66))=0,0,MAX(0,3158170.74-(IF(G67&lt;&gt;"",G67,IF($D$37&lt;&gt;"",$D$37,IF((IF(G66="",IF($D$35="",0,$D$35),G66))=0,0,G56/(IF(G66="",IF($D$35="",0,$D$35),G66)))))))*(IF(G66="",IF($D$35="",0,$D$35),G66))))</f>
        <v/>
      </c>
      <c r="Q101" s="75" t="str">
        <f aca="false">IF(O101="","",O101+P101)</f>
        <v/>
      </c>
      <c r="R101" s="75" t="str">
        <f aca="false">IF(H56="","",IF(12&gt;IF(H59="",10,H59),"",H56*(1+IF(H57="",0,H57))^ROUNDDOWN((12-1)/IF(H58="",5,H58),0)))</f>
        <v/>
      </c>
      <c r="S101" s="75" t="str">
        <f aca="false">IF(R101="","",IF((IF(H66="",IF($D$35="",0,$D$35),H66))=0,0,MAX(0,3158170.74-(IF(H67&lt;&gt;"",H67,IF($D$37&lt;&gt;"",$D$37,IF((IF(H66="",IF($D$35="",0,$D$35),H66))=0,0,H56/(IF(H66="",IF($D$35="",0,$D$35),H66)))))))*(IF(H66="",IF($D$35="",0,$D$35),H66))))</f>
        <v/>
      </c>
      <c r="T101" s="75" t="str">
        <f aca="false">IF(R101="","",R101+S101)</f>
        <v/>
      </c>
    </row>
    <row r="102" customFormat="false" ht="15" hidden="false" customHeight="false" outlineLevel="0" collapsed="false">
      <c r="A102" s="74" t="n">
        <v>13</v>
      </c>
      <c r="B102" s="75" t="n">
        <v>3221334</v>
      </c>
      <c r="C102" s="76" t="n">
        <v>64782</v>
      </c>
      <c r="D102" s="76" t="n">
        <v>0</v>
      </c>
      <c r="E102" s="76" t="n">
        <v>64782</v>
      </c>
      <c r="F102" s="75" t="n">
        <f aca="false">IF(D56="","",IF(13&gt;IF(D59="",10,D59),"",D56*(1+IF(D57="",0,D57))^ROUNDDOWN((13-1)/IF(D58="",5,D58),0)))</f>
        <v>57784.8564</v>
      </c>
      <c r="G102" s="75" t="n">
        <f aca="false">IF(F102="","",IF((IF(D66="",IF($D$35="",0,$D$35),D66))=0,0,MAX(0,3221334.16-(IF(D67&lt;&gt;"",D67,IF($D$37&lt;&gt;"",$D$37,IF((IF(D66="",IF($D$35="",0,$D$35),D66))=0,0,D56/(IF(D66="",IF($D$35="",0,$D$35),D66)))))))*(IF(D66="",IF($D$35="",0,$D$35),D66))))</f>
        <v>0</v>
      </c>
      <c r="H102" s="75" t="n">
        <f aca="false">IF(F102="","",F102+G102)</f>
        <v>57784.8564</v>
      </c>
      <c r="I102" s="75" t="str">
        <f aca="false">IF(E56="","",IF(13&gt;IF(E59="",10,E59),"",E56*(1+IF(E57="",0,E57))^ROUNDDOWN((13-1)/IF(E58="",5,E58),0)))</f>
        <v/>
      </c>
      <c r="J102" s="75" t="str">
        <f aca="false">IF(I102="","",IF((IF(E66="",IF($D$35="",0,$D$35),E66))=0,0,MAX(0,3221334.16-(IF(E67&lt;&gt;"",E67,IF($D$37&lt;&gt;"",$D$37,IF((IF(E66="",IF($D$35="",0,$D$35),E66))=0,0,E56/(IF(E66="",IF($D$35="",0,$D$35),E66)))))))*(IF(E66="",IF($D$35="",0,$D$35),E66))))</f>
        <v/>
      </c>
      <c r="K102" s="75" t="str">
        <f aca="false">IF(I102="","",I102+J102)</f>
        <v/>
      </c>
      <c r="L102" s="75" t="str">
        <f aca="false">IF(F56="","",IF(13&gt;IF(F59="",10,F59),"",F56*(1+IF(F57="",0,F57))^ROUNDDOWN((13-1)/IF(F58="",5,F58),0)))</f>
        <v/>
      </c>
      <c r="M102" s="75" t="str">
        <f aca="false">IF(L102="","",IF((IF(F66="",IF($D$35="",0,$D$35),F66))=0,0,MAX(0,3221334.16-(IF(F67&lt;&gt;"",F67,IF($D$37&lt;&gt;"",$D$37,IF((IF(F66="",IF($D$35="",0,$D$35),F66))=0,0,F56/(IF(F66="",IF($D$35="",0,$D$35),F66)))))))*(IF(F66="",IF($D$35="",0,$D$35),F66))))</f>
        <v/>
      </c>
      <c r="N102" s="75" t="str">
        <f aca="false">IF(L102="","",L102+M102)</f>
        <v/>
      </c>
      <c r="O102" s="75" t="str">
        <f aca="false">IF(G56="","",IF(13&gt;IF(G59="",10,G59),"",G56*(1+IF(G57="",0,G57))^ROUNDDOWN((13-1)/IF(G58="",5,G58),0)))</f>
        <v/>
      </c>
      <c r="P102" s="75" t="str">
        <f aca="false">IF(O102="","",IF((IF(G66="",IF($D$35="",0,$D$35),G66))=0,0,MAX(0,3221334.16-(IF(G67&lt;&gt;"",G67,IF($D$37&lt;&gt;"",$D$37,IF((IF(G66="",IF($D$35="",0,$D$35),G66))=0,0,G56/(IF(G66="",IF($D$35="",0,$D$35),G66)))))))*(IF(G66="",IF($D$35="",0,$D$35),G66))))</f>
        <v/>
      </c>
      <c r="Q102" s="75" t="str">
        <f aca="false">IF(O102="","",O102+P102)</f>
        <v/>
      </c>
      <c r="R102" s="75" t="str">
        <f aca="false">IF(H56="","",IF(13&gt;IF(H59="",10,H59),"",H56*(1+IF(H57="",0,H57))^ROUNDDOWN((13-1)/IF(H58="",5,H58),0)))</f>
        <v/>
      </c>
      <c r="S102" s="75" t="str">
        <f aca="false">IF(R102="","",IF((IF(H66="",IF($D$35="",0,$D$35),H66))=0,0,MAX(0,3221334.16-(IF(H67&lt;&gt;"",H67,IF($D$37&lt;&gt;"",$D$37,IF((IF(H66="",IF($D$35="",0,$D$35),H66))=0,0,H56/(IF(H66="",IF($D$35="",0,$D$35),H66)))))))*(IF(H66="",IF($D$35="",0,$D$35),H66))))</f>
        <v/>
      </c>
      <c r="T102" s="75" t="str">
        <f aca="false">IF(R102="","",R102+S102)</f>
        <v/>
      </c>
    </row>
    <row r="103" customFormat="false" ht="15" hidden="false" customHeight="false" outlineLevel="0" collapsed="false">
      <c r="A103" s="74" t="n">
        <v>14</v>
      </c>
      <c r="B103" s="75" t="n">
        <v>3285761</v>
      </c>
      <c r="C103" s="76" t="n">
        <v>64782</v>
      </c>
      <c r="D103" s="76" t="n">
        <v>0</v>
      </c>
      <c r="E103" s="76" t="n">
        <v>64782</v>
      </c>
      <c r="F103" s="75" t="n">
        <f aca="false">IF(D56="","",IF(14&gt;IF(D59="",10,D59),"",D56*(1+IF(D57="",0,D57))^ROUNDDOWN((14-1)/IF(D58="",5,D58),0)))</f>
        <v>57784.8564</v>
      </c>
      <c r="G103" s="75" t="n">
        <f aca="false">IF(F103="","",IF((IF(D66="",IF($D$35="",0,$D$35),D66))=0,0,MAX(0,3285760.84-(IF(D67&lt;&gt;"",D67,IF($D$37&lt;&gt;"",$D$37,IF((IF(D66="",IF($D$35="",0,$D$35),D66))=0,0,D56/(IF(D66="",IF($D$35="",0,$D$35),D66)))))))*(IF(D66="",IF($D$35="",0,$D$35),D66))))</f>
        <v>0</v>
      </c>
      <c r="H103" s="75" t="n">
        <f aca="false">IF(F103="","",F103+G103)</f>
        <v>57784.8564</v>
      </c>
      <c r="I103" s="75" t="str">
        <f aca="false">IF(E56="","",IF(14&gt;IF(E59="",10,E59),"",E56*(1+IF(E57="",0,E57))^ROUNDDOWN((14-1)/IF(E58="",5,E58),0)))</f>
        <v/>
      </c>
      <c r="J103" s="75" t="str">
        <f aca="false">IF(I103="","",IF((IF(E66="",IF($D$35="",0,$D$35),E66))=0,0,MAX(0,3285760.84-(IF(E67&lt;&gt;"",E67,IF($D$37&lt;&gt;"",$D$37,IF((IF(E66="",IF($D$35="",0,$D$35),E66))=0,0,E56/(IF(E66="",IF($D$35="",0,$D$35),E66)))))))*(IF(E66="",IF($D$35="",0,$D$35),E66))))</f>
        <v/>
      </c>
      <c r="K103" s="75" t="str">
        <f aca="false">IF(I103="","",I103+J103)</f>
        <v/>
      </c>
      <c r="L103" s="75" t="str">
        <f aca="false">IF(F56="","",IF(14&gt;IF(F59="",10,F59),"",F56*(1+IF(F57="",0,F57))^ROUNDDOWN((14-1)/IF(F58="",5,F58),0)))</f>
        <v/>
      </c>
      <c r="M103" s="75" t="str">
        <f aca="false">IF(L103="","",IF((IF(F66="",IF($D$35="",0,$D$35),F66))=0,0,MAX(0,3285760.84-(IF(F67&lt;&gt;"",F67,IF($D$37&lt;&gt;"",$D$37,IF((IF(F66="",IF($D$35="",0,$D$35),F66))=0,0,F56/(IF(F66="",IF($D$35="",0,$D$35),F66)))))))*(IF(F66="",IF($D$35="",0,$D$35),F66))))</f>
        <v/>
      </c>
      <c r="N103" s="75" t="str">
        <f aca="false">IF(L103="","",L103+M103)</f>
        <v/>
      </c>
      <c r="O103" s="75" t="str">
        <f aca="false">IF(G56="","",IF(14&gt;IF(G59="",10,G59),"",G56*(1+IF(G57="",0,G57))^ROUNDDOWN((14-1)/IF(G58="",5,G58),0)))</f>
        <v/>
      </c>
      <c r="P103" s="75" t="str">
        <f aca="false">IF(O103="","",IF((IF(G66="",IF($D$35="",0,$D$35),G66))=0,0,MAX(0,3285760.84-(IF(G67&lt;&gt;"",G67,IF($D$37&lt;&gt;"",$D$37,IF((IF(G66="",IF($D$35="",0,$D$35),G66))=0,0,G56/(IF(G66="",IF($D$35="",0,$D$35),G66)))))))*(IF(G66="",IF($D$35="",0,$D$35),G66))))</f>
        <v/>
      </c>
      <c r="Q103" s="75" t="str">
        <f aca="false">IF(O103="","",O103+P103)</f>
        <v/>
      </c>
      <c r="R103" s="75" t="str">
        <f aca="false">IF(H56="","",IF(14&gt;IF(H59="",10,H59),"",H56*(1+IF(H57="",0,H57))^ROUNDDOWN((14-1)/IF(H58="",5,H58),0)))</f>
        <v/>
      </c>
      <c r="S103" s="75" t="str">
        <f aca="false">IF(R103="","",IF((IF(H66="",IF($D$35="",0,$D$35),H66))=0,0,MAX(0,3285760.84-(IF(H67&lt;&gt;"",H67,IF($D$37&lt;&gt;"",$D$37,IF((IF(H66="",IF($D$35="",0,$D$35),H66))=0,0,H56/(IF(H66="",IF($D$35="",0,$D$35),H66)))))))*(IF(H66="",IF($D$35="",0,$D$35),H66))))</f>
        <v/>
      </c>
      <c r="T103" s="75" t="str">
        <f aca="false">IF(R103="","",R103+S103)</f>
        <v/>
      </c>
    </row>
    <row r="104" customFormat="false" ht="15" hidden="false" customHeight="false" outlineLevel="0" collapsed="false">
      <c r="A104" s="74" t="n">
        <v>15</v>
      </c>
      <c r="B104" s="75" t="n">
        <v>3351476</v>
      </c>
      <c r="C104" s="76" t="n">
        <v>64782</v>
      </c>
      <c r="D104" s="76" t="n">
        <v>0</v>
      </c>
      <c r="E104" s="76" t="n">
        <v>64782</v>
      </c>
      <c r="F104" s="75" t="n">
        <f aca="false">IF(D56="","",IF(15&gt;IF(D59="",10,D59),"",D56*(1+IF(D57="",0,D57))^ROUNDDOWN((15-1)/IF(D58="",5,D58),0)))</f>
        <v>57784.8564</v>
      </c>
      <c r="G104" s="75" t="n">
        <f aca="false">IF(F104="","",IF((IF(D66="",IF($D$35="",0,$D$35),D66))=0,0,MAX(0,3351476.06-(IF(D67&lt;&gt;"",D67,IF($D$37&lt;&gt;"",$D$37,IF((IF(D66="",IF($D$35="",0,$D$35),D66))=0,0,D56/(IF(D66="",IF($D$35="",0,$D$35),D66)))))))*(IF(D66="",IF($D$35="",0,$D$35),D66))))</f>
        <v>0</v>
      </c>
      <c r="H104" s="75" t="n">
        <f aca="false">IF(F104="","",F104+G104)</f>
        <v>57784.8564</v>
      </c>
      <c r="I104" s="75" t="str">
        <f aca="false">IF(E56="","",IF(15&gt;IF(E59="",10,E59),"",E56*(1+IF(E57="",0,E57))^ROUNDDOWN((15-1)/IF(E58="",5,E58),0)))</f>
        <v/>
      </c>
      <c r="J104" s="75" t="str">
        <f aca="false">IF(I104="","",IF((IF(E66="",IF($D$35="",0,$D$35),E66))=0,0,MAX(0,3351476.06-(IF(E67&lt;&gt;"",E67,IF($D$37&lt;&gt;"",$D$37,IF((IF(E66="",IF($D$35="",0,$D$35),E66))=0,0,E56/(IF(E66="",IF($D$35="",0,$D$35),E66)))))))*(IF(E66="",IF($D$35="",0,$D$35),E66))))</f>
        <v/>
      </c>
      <c r="K104" s="75" t="str">
        <f aca="false">IF(I104="","",I104+J104)</f>
        <v/>
      </c>
      <c r="L104" s="75" t="str">
        <f aca="false">IF(F56="","",IF(15&gt;IF(F59="",10,F59),"",F56*(1+IF(F57="",0,F57))^ROUNDDOWN((15-1)/IF(F58="",5,F58),0)))</f>
        <v/>
      </c>
      <c r="M104" s="75" t="str">
        <f aca="false">IF(L104="","",IF((IF(F66="",IF($D$35="",0,$D$35),F66))=0,0,MAX(0,3351476.06-(IF(F67&lt;&gt;"",F67,IF($D$37&lt;&gt;"",$D$37,IF((IF(F66="",IF($D$35="",0,$D$35),F66))=0,0,F56/(IF(F66="",IF($D$35="",0,$D$35),F66)))))))*(IF(F66="",IF($D$35="",0,$D$35),F66))))</f>
        <v/>
      </c>
      <c r="N104" s="75" t="str">
        <f aca="false">IF(L104="","",L104+M104)</f>
        <v/>
      </c>
      <c r="O104" s="75" t="str">
        <f aca="false">IF(G56="","",IF(15&gt;IF(G59="",10,G59),"",G56*(1+IF(G57="",0,G57))^ROUNDDOWN((15-1)/IF(G58="",5,G58),0)))</f>
        <v/>
      </c>
      <c r="P104" s="75" t="str">
        <f aca="false">IF(O104="","",IF((IF(G66="",IF($D$35="",0,$D$35),G66))=0,0,MAX(0,3351476.06-(IF(G67&lt;&gt;"",G67,IF($D$37&lt;&gt;"",$D$37,IF((IF(G66="",IF($D$35="",0,$D$35),G66))=0,0,G56/(IF(G66="",IF($D$35="",0,$D$35),G66)))))))*(IF(G66="",IF($D$35="",0,$D$35),G66))))</f>
        <v/>
      </c>
      <c r="Q104" s="75" t="str">
        <f aca="false">IF(O104="","",O104+P104)</f>
        <v/>
      </c>
      <c r="R104" s="75" t="str">
        <f aca="false">IF(H56="","",IF(15&gt;IF(H59="",10,H59),"",H56*(1+IF(H57="",0,H57))^ROUNDDOWN((15-1)/IF(H58="",5,H58),0)))</f>
        <v/>
      </c>
      <c r="S104" s="75" t="str">
        <f aca="false">IF(R104="","",IF((IF(H66="",IF($D$35="",0,$D$35),H66))=0,0,MAX(0,3351476.06-(IF(H67&lt;&gt;"",H67,IF($D$37&lt;&gt;"",$D$37,IF((IF(H66="",IF($D$35="",0,$D$35),H66))=0,0,H56/(IF(H66="",IF($D$35="",0,$D$35),H66)))))))*(IF(H66="",IF($D$35="",0,$D$35),H66))))</f>
        <v/>
      </c>
      <c r="T104" s="75" t="str">
        <f aca="false">IF(R104="","",R104+S104)</f>
        <v/>
      </c>
    </row>
    <row r="105" customFormat="false" ht="15" hidden="false" customHeight="false" outlineLevel="0" collapsed="false">
      <c r="A105" s="74" t="n">
        <v>16</v>
      </c>
      <c r="B105" s="75" t="n">
        <v>3418506</v>
      </c>
      <c r="C105" s="76" t="n">
        <v>69965</v>
      </c>
      <c r="D105" s="76" t="n">
        <v>0</v>
      </c>
      <c r="E105" s="76" t="n">
        <v>69965</v>
      </c>
      <c r="F105" s="75" t="n">
        <f aca="false">IF(D56="","",IF(16&gt;IF(D59="",10,D59),"",D56*(1+IF(D57="",0,D57))^ROUNDDOWN((16-1)/IF(D58="",5,D58),0)))</f>
        <v>58940.553528</v>
      </c>
      <c r="G105" s="75" t="n">
        <f aca="false">IF(F105="","",IF((IF(D66="",IF($D$35="",0,$D$35),D66))=0,0,MAX(0,3418505.58-(IF(D67&lt;&gt;"",D67,IF($D$37&lt;&gt;"",$D$37,IF((IF(D66="",IF($D$35="",0,$D$35),D66))=0,0,D56/(IF(D66="",IF($D$35="",0,$D$35),D66)))))))*(IF(D66="",IF($D$35="",0,$D$35),D66))))</f>
        <v>0</v>
      </c>
      <c r="H105" s="75" t="n">
        <f aca="false">IF(F105="","",F105+G105)</f>
        <v>58940.553528</v>
      </c>
      <c r="I105" s="75" t="str">
        <f aca="false">IF(E56="","",IF(16&gt;IF(E59="",10,E59),"",E56*(1+IF(E57="",0,E57))^ROUNDDOWN((16-1)/IF(E58="",5,E58),0)))</f>
        <v/>
      </c>
      <c r="J105" s="75" t="str">
        <f aca="false">IF(I105="","",IF((IF(E66="",IF($D$35="",0,$D$35),E66))=0,0,MAX(0,3418505.58-(IF(E67&lt;&gt;"",E67,IF($D$37&lt;&gt;"",$D$37,IF((IF(E66="",IF($D$35="",0,$D$35),E66))=0,0,E56/(IF(E66="",IF($D$35="",0,$D$35),E66)))))))*(IF(E66="",IF($D$35="",0,$D$35),E66))))</f>
        <v/>
      </c>
      <c r="K105" s="75" t="str">
        <f aca="false">IF(I105="","",I105+J105)</f>
        <v/>
      </c>
      <c r="L105" s="75" t="str">
        <f aca="false">IF(F56="","",IF(16&gt;IF(F59="",10,F59),"",F56*(1+IF(F57="",0,F57))^ROUNDDOWN((16-1)/IF(F58="",5,F58),0)))</f>
        <v/>
      </c>
      <c r="M105" s="75" t="str">
        <f aca="false">IF(L105="","",IF((IF(F66="",IF($D$35="",0,$D$35),F66))=0,0,MAX(0,3418505.58-(IF(F67&lt;&gt;"",F67,IF($D$37&lt;&gt;"",$D$37,IF((IF(F66="",IF($D$35="",0,$D$35),F66))=0,0,F56/(IF(F66="",IF($D$35="",0,$D$35),F66)))))))*(IF(F66="",IF($D$35="",0,$D$35),F66))))</f>
        <v/>
      </c>
      <c r="N105" s="75" t="str">
        <f aca="false">IF(L105="","",L105+M105)</f>
        <v/>
      </c>
      <c r="O105" s="75" t="str">
        <f aca="false">IF(G56="","",IF(16&gt;IF(G59="",10,G59),"",G56*(1+IF(G57="",0,G57))^ROUNDDOWN((16-1)/IF(G58="",5,G58),0)))</f>
        <v/>
      </c>
      <c r="P105" s="75" t="str">
        <f aca="false">IF(O105="","",IF((IF(G66="",IF($D$35="",0,$D$35),G66))=0,0,MAX(0,3418505.58-(IF(G67&lt;&gt;"",G67,IF($D$37&lt;&gt;"",$D$37,IF((IF(G66="",IF($D$35="",0,$D$35),G66))=0,0,G56/(IF(G66="",IF($D$35="",0,$D$35),G66)))))))*(IF(G66="",IF($D$35="",0,$D$35),G66))))</f>
        <v/>
      </c>
      <c r="Q105" s="75" t="str">
        <f aca="false">IF(O105="","",O105+P105)</f>
        <v/>
      </c>
      <c r="R105" s="75" t="str">
        <f aca="false">IF(H56="","",IF(16&gt;IF(H59="",10,H59),"",H56*(1+IF(H57="",0,H57))^ROUNDDOWN((16-1)/IF(H58="",5,H58),0)))</f>
        <v/>
      </c>
      <c r="S105" s="75" t="str">
        <f aca="false">IF(R105="","",IF((IF(H66="",IF($D$35="",0,$D$35),H66))=0,0,MAX(0,3418505.58-(IF(H67&lt;&gt;"",H67,IF($D$37&lt;&gt;"",$D$37,IF((IF(H66="",IF($D$35="",0,$D$35),H66))=0,0,H56/(IF(H66="",IF($D$35="",0,$D$35),H66)))))))*(IF(H66="",IF($D$35="",0,$D$35),H66))))</f>
        <v/>
      </c>
      <c r="T105" s="75" t="str">
        <f aca="false">IF(R105="","",R105+S105)</f>
        <v/>
      </c>
    </row>
    <row r="106" customFormat="false" ht="15" hidden="false" customHeight="false" outlineLevel="0" collapsed="false">
      <c r="A106" s="74" t="n">
        <v>17</v>
      </c>
      <c r="B106" s="75" t="n">
        <v>3486876</v>
      </c>
      <c r="C106" s="76" t="n">
        <v>69965</v>
      </c>
      <c r="D106" s="76" t="n">
        <v>0</v>
      </c>
      <c r="E106" s="76" t="n">
        <v>69965</v>
      </c>
      <c r="F106" s="75" t="n">
        <f aca="false">IF(D56="","",IF(17&gt;IF(D59="",10,D59),"",D56*(1+IF(D57="",0,D57))^ROUNDDOWN((17-1)/IF(D58="",5,D58),0)))</f>
        <v>58940.553528</v>
      </c>
      <c r="G106" s="75" t="n">
        <f aca="false">IF(F106="","",IF((IF(D66="",IF($D$35="",0,$D$35),D66))=0,0,MAX(0,3486875.69-(IF(D67&lt;&gt;"",D67,IF($D$37&lt;&gt;"",$D$37,IF((IF(D66="",IF($D$35="",0,$D$35),D66))=0,0,D56/(IF(D66="",IF($D$35="",0,$D$35),D66)))))))*(IF(D66="",IF($D$35="",0,$D$35),D66))))</f>
        <v>0</v>
      </c>
      <c r="H106" s="75" t="n">
        <f aca="false">IF(F106="","",F106+G106)</f>
        <v>58940.553528</v>
      </c>
      <c r="I106" s="75" t="str">
        <f aca="false">IF(E56="","",IF(17&gt;IF(E59="",10,E59),"",E56*(1+IF(E57="",0,E57))^ROUNDDOWN((17-1)/IF(E58="",5,E58),0)))</f>
        <v/>
      </c>
      <c r="J106" s="75" t="str">
        <f aca="false">IF(I106="","",IF((IF(E66="",IF($D$35="",0,$D$35),E66))=0,0,MAX(0,3486875.69-(IF(E67&lt;&gt;"",E67,IF($D$37&lt;&gt;"",$D$37,IF((IF(E66="",IF($D$35="",0,$D$35),E66))=0,0,E56/(IF(E66="",IF($D$35="",0,$D$35),E66)))))))*(IF(E66="",IF($D$35="",0,$D$35),E66))))</f>
        <v/>
      </c>
      <c r="K106" s="75" t="str">
        <f aca="false">IF(I106="","",I106+J106)</f>
        <v/>
      </c>
      <c r="L106" s="75" t="str">
        <f aca="false">IF(F56="","",IF(17&gt;IF(F59="",10,F59),"",F56*(1+IF(F57="",0,F57))^ROUNDDOWN((17-1)/IF(F58="",5,F58),0)))</f>
        <v/>
      </c>
      <c r="M106" s="75" t="str">
        <f aca="false">IF(L106="","",IF((IF(F66="",IF($D$35="",0,$D$35),F66))=0,0,MAX(0,3486875.69-(IF(F67&lt;&gt;"",F67,IF($D$37&lt;&gt;"",$D$37,IF((IF(F66="",IF($D$35="",0,$D$35),F66))=0,0,F56/(IF(F66="",IF($D$35="",0,$D$35),F66)))))))*(IF(F66="",IF($D$35="",0,$D$35),F66))))</f>
        <v/>
      </c>
      <c r="N106" s="75" t="str">
        <f aca="false">IF(L106="","",L106+M106)</f>
        <v/>
      </c>
      <c r="O106" s="75" t="str">
        <f aca="false">IF(G56="","",IF(17&gt;IF(G59="",10,G59),"",G56*(1+IF(G57="",0,G57))^ROUNDDOWN((17-1)/IF(G58="",5,G58),0)))</f>
        <v/>
      </c>
      <c r="P106" s="75" t="str">
        <f aca="false">IF(O106="","",IF((IF(G66="",IF($D$35="",0,$D$35),G66))=0,0,MAX(0,3486875.69-(IF(G67&lt;&gt;"",G67,IF($D$37&lt;&gt;"",$D$37,IF((IF(G66="",IF($D$35="",0,$D$35),G66))=0,0,G56/(IF(G66="",IF($D$35="",0,$D$35),G66)))))))*(IF(G66="",IF($D$35="",0,$D$35),G66))))</f>
        <v/>
      </c>
      <c r="Q106" s="75" t="str">
        <f aca="false">IF(O106="","",O106+P106)</f>
        <v/>
      </c>
      <c r="R106" s="75" t="str">
        <f aca="false">IF(H56="","",IF(17&gt;IF(H59="",10,H59),"",H56*(1+IF(H57="",0,H57))^ROUNDDOWN((17-1)/IF(H58="",5,H58),0)))</f>
        <v/>
      </c>
      <c r="S106" s="75" t="str">
        <f aca="false">IF(R106="","",IF((IF(H66="",IF($D$35="",0,$D$35),H66))=0,0,MAX(0,3486875.69-(IF(H67&lt;&gt;"",H67,IF($D$37&lt;&gt;"",$D$37,IF((IF(H66="",IF($D$35="",0,$D$35),H66))=0,0,H56/(IF(H66="",IF($D$35="",0,$D$35),H66)))))))*(IF(H66="",IF($D$35="",0,$D$35),H66))))</f>
        <v/>
      </c>
      <c r="T106" s="75" t="str">
        <f aca="false">IF(R106="","",R106+S106)</f>
        <v/>
      </c>
    </row>
    <row r="107" customFormat="false" ht="15" hidden="false" customHeight="false" outlineLevel="0" collapsed="false">
      <c r="A107" s="74" t="n">
        <v>18</v>
      </c>
      <c r="B107" s="75" t="n">
        <v>3556613</v>
      </c>
      <c r="C107" s="76" t="n">
        <v>69965</v>
      </c>
      <c r="D107" s="76" t="n">
        <v>0</v>
      </c>
      <c r="E107" s="76" t="n">
        <v>69965</v>
      </c>
      <c r="F107" s="75" t="n">
        <f aca="false">IF(D56="","",IF(18&gt;IF(D59="",10,D59),"",D56*(1+IF(D57="",0,D57))^ROUNDDOWN((18-1)/IF(D58="",5,D58),0)))</f>
        <v>58940.553528</v>
      </c>
      <c r="G107" s="75" t="n">
        <f aca="false">IF(F107="","",IF((IF(D66="",IF($D$35="",0,$D$35),D66))=0,0,MAX(0,3556613.2-(IF(D67&lt;&gt;"",D67,IF($D$37&lt;&gt;"",$D$37,IF((IF(D66="",IF($D$35="",0,$D$35),D66))=0,0,D56/(IF(D66="",IF($D$35="",0,$D$35),D66)))))))*(IF(D66="",IF($D$35="",0,$D$35),D66))))</f>
        <v>0</v>
      </c>
      <c r="H107" s="75" t="n">
        <f aca="false">IF(F107="","",F107+G107)</f>
        <v>58940.553528</v>
      </c>
      <c r="I107" s="75" t="str">
        <f aca="false">IF(E56="","",IF(18&gt;IF(E59="",10,E59),"",E56*(1+IF(E57="",0,E57))^ROUNDDOWN((18-1)/IF(E58="",5,E58),0)))</f>
        <v/>
      </c>
      <c r="J107" s="75" t="str">
        <f aca="false">IF(I107="","",IF((IF(E66="",IF($D$35="",0,$D$35),E66))=0,0,MAX(0,3556613.2-(IF(E67&lt;&gt;"",E67,IF($D$37&lt;&gt;"",$D$37,IF((IF(E66="",IF($D$35="",0,$D$35),E66))=0,0,E56/(IF(E66="",IF($D$35="",0,$D$35),E66)))))))*(IF(E66="",IF($D$35="",0,$D$35),E66))))</f>
        <v/>
      </c>
      <c r="K107" s="75" t="str">
        <f aca="false">IF(I107="","",I107+J107)</f>
        <v/>
      </c>
      <c r="L107" s="75" t="str">
        <f aca="false">IF(F56="","",IF(18&gt;IF(F59="",10,F59),"",F56*(1+IF(F57="",0,F57))^ROUNDDOWN((18-1)/IF(F58="",5,F58),0)))</f>
        <v/>
      </c>
      <c r="M107" s="75" t="str">
        <f aca="false">IF(L107="","",IF((IF(F66="",IF($D$35="",0,$D$35),F66))=0,0,MAX(0,3556613.2-(IF(F67&lt;&gt;"",F67,IF($D$37&lt;&gt;"",$D$37,IF((IF(F66="",IF($D$35="",0,$D$35),F66))=0,0,F56/(IF(F66="",IF($D$35="",0,$D$35),F66)))))))*(IF(F66="",IF($D$35="",0,$D$35),F66))))</f>
        <v/>
      </c>
      <c r="N107" s="75" t="str">
        <f aca="false">IF(L107="","",L107+M107)</f>
        <v/>
      </c>
      <c r="O107" s="75" t="str">
        <f aca="false">IF(G56="","",IF(18&gt;IF(G59="",10,G59),"",G56*(1+IF(G57="",0,G57))^ROUNDDOWN((18-1)/IF(G58="",5,G58),0)))</f>
        <v/>
      </c>
      <c r="P107" s="75" t="str">
        <f aca="false">IF(O107="","",IF((IF(G66="",IF($D$35="",0,$D$35),G66))=0,0,MAX(0,3556613.2-(IF(G67&lt;&gt;"",G67,IF($D$37&lt;&gt;"",$D$37,IF((IF(G66="",IF($D$35="",0,$D$35),G66))=0,0,G56/(IF(G66="",IF($D$35="",0,$D$35),G66)))))))*(IF(G66="",IF($D$35="",0,$D$35),G66))))</f>
        <v/>
      </c>
      <c r="Q107" s="75" t="str">
        <f aca="false">IF(O107="","",O107+P107)</f>
        <v/>
      </c>
      <c r="R107" s="75" t="str">
        <f aca="false">IF(H56="","",IF(18&gt;IF(H59="",10,H59),"",H56*(1+IF(H57="",0,H57))^ROUNDDOWN((18-1)/IF(H58="",5,H58),0)))</f>
        <v/>
      </c>
      <c r="S107" s="75" t="str">
        <f aca="false">IF(R107="","",IF((IF(H66="",IF($D$35="",0,$D$35),H66))=0,0,MAX(0,3556613.2-(IF(H67&lt;&gt;"",H67,IF($D$37&lt;&gt;"",$D$37,IF((IF(H66="",IF($D$35="",0,$D$35),H66))=0,0,H56/(IF(H66="",IF($D$35="",0,$D$35),H66)))))))*(IF(H66="",IF($D$35="",0,$D$35),H66))))</f>
        <v/>
      </c>
      <c r="T107" s="75" t="str">
        <f aca="false">IF(R107="","",R107+S107)</f>
        <v/>
      </c>
    </row>
    <row r="108" customFormat="false" ht="15" hidden="false" customHeight="false" outlineLevel="0" collapsed="false">
      <c r="A108" s="74" t="n">
        <v>19</v>
      </c>
      <c r="B108" s="75" t="n">
        <v>3627745</v>
      </c>
      <c r="C108" s="76" t="n">
        <v>69965</v>
      </c>
      <c r="D108" s="76" t="n">
        <v>0</v>
      </c>
      <c r="E108" s="76" t="n">
        <v>69965</v>
      </c>
      <c r="F108" s="75" t="n">
        <f aca="false">IF(D56="","",IF(19&gt;IF(D59="",10,D59),"",D56*(1+IF(D57="",0,D57))^ROUNDDOWN((19-1)/IF(D58="",5,D58),0)))</f>
        <v>58940.553528</v>
      </c>
      <c r="G108" s="75" t="n">
        <f aca="false">IF(F108="","",IF((IF(D66="",IF($D$35="",0,$D$35),D66))=0,0,MAX(0,3627745.47-(IF(D67&lt;&gt;"",D67,IF($D$37&lt;&gt;"",$D$37,IF((IF(D66="",IF($D$35="",0,$D$35),D66))=0,0,D56/(IF(D66="",IF($D$35="",0,$D$35),D66)))))))*(IF(D66="",IF($D$35="",0,$D$35),D66))))</f>
        <v>0</v>
      </c>
      <c r="H108" s="75" t="n">
        <f aca="false">IF(F108="","",F108+G108)</f>
        <v>58940.553528</v>
      </c>
      <c r="I108" s="75" t="str">
        <f aca="false">IF(E56="","",IF(19&gt;IF(E59="",10,E59),"",E56*(1+IF(E57="",0,E57))^ROUNDDOWN((19-1)/IF(E58="",5,E58),0)))</f>
        <v/>
      </c>
      <c r="J108" s="75" t="str">
        <f aca="false">IF(I108="","",IF((IF(E66="",IF($D$35="",0,$D$35),E66))=0,0,MAX(0,3627745.47-(IF(E67&lt;&gt;"",E67,IF($D$37&lt;&gt;"",$D$37,IF((IF(E66="",IF($D$35="",0,$D$35),E66))=0,0,E56/(IF(E66="",IF($D$35="",0,$D$35),E66)))))))*(IF(E66="",IF($D$35="",0,$D$35),E66))))</f>
        <v/>
      </c>
      <c r="K108" s="75" t="str">
        <f aca="false">IF(I108="","",I108+J108)</f>
        <v/>
      </c>
      <c r="L108" s="75" t="str">
        <f aca="false">IF(F56="","",IF(19&gt;IF(F59="",10,F59),"",F56*(1+IF(F57="",0,F57))^ROUNDDOWN((19-1)/IF(F58="",5,F58),0)))</f>
        <v/>
      </c>
      <c r="M108" s="75" t="str">
        <f aca="false">IF(L108="","",IF((IF(F66="",IF($D$35="",0,$D$35),F66))=0,0,MAX(0,3627745.47-(IF(F67&lt;&gt;"",F67,IF($D$37&lt;&gt;"",$D$37,IF((IF(F66="",IF($D$35="",0,$D$35),F66))=0,0,F56/(IF(F66="",IF($D$35="",0,$D$35),F66)))))))*(IF(F66="",IF($D$35="",0,$D$35),F66))))</f>
        <v/>
      </c>
      <c r="N108" s="75" t="str">
        <f aca="false">IF(L108="","",L108+M108)</f>
        <v/>
      </c>
      <c r="O108" s="75" t="str">
        <f aca="false">IF(G56="","",IF(19&gt;IF(G59="",10,G59),"",G56*(1+IF(G57="",0,G57))^ROUNDDOWN((19-1)/IF(G58="",5,G58),0)))</f>
        <v/>
      </c>
      <c r="P108" s="75" t="str">
        <f aca="false">IF(O108="","",IF((IF(G66="",IF($D$35="",0,$D$35),G66))=0,0,MAX(0,3627745.47-(IF(G67&lt;&gt;"",G67,IF($D$37&lt;&gt;"",$D$37,IF((IF(G66="",IF($D$35="",0,$D$35),G66))=0,0,G56/(IF(G66="",IF($D$35="",0,$D$35),G66)))))))*(IF(G66="",IF($D$35="",0,$D$35),G66))))</f>
        <v/>
      </c>
      <c r="Q108" s="75" t="str">
        <f aca="false">IF(O108="","",O108+P108)</f>
        <v/>
      </c>
      <c r="R108" s="75" t="str">
        <f aca="false">IF(H56="","",IF(19&gt;IF(H59="",10,H59),"",H56*(1+IF(H57="",0,H57))^ROUNDDOWN((19-1)/IF(H58="",5,H58),0)))</f>
        <v/>
      </c>
      <c r="S108" s="75" t="str">
        <f aca="false">IF(R108="","",IF((IF(H66="",IF($D$35="",0,$D$35),H66))=0,0,MAX(0,3627745.47-(IF(H67&lt;&gt;"",H67,IF($D$37&lt;&gt;"",$D$37,IF((IF(H66="",IF($D$35="",0,$D$35),H66))=0,0,H56/(IF(H66="",IF($D$35="",0,$D$35),H66)))))))*(IF(H66="",IF($D$35="",0,$D$35),H66))))</f>
        <v/>
      </c>
      <c r="T108" s="75" t="str">
        <f aca="false">IF(R108="","",R108+S108)</f>
        <v/>
      </c>
    </row>
    <row r="109" customFormat="false" ht="15" hidden="false" customHeight="false" outlineLevel="0" collapsed="false">
      <c r="A109" s="74" t="n">
        <v>20</v>
      </c>
      <c r="B109" s="75" t="n">
        <v>3700300</v>
      </c>
      <c r="C109" s="76" t="n">
        <v>69965</v>
      </c>
      <c r="D109" s="76" t="n">
        <v>0</v>
      </c>
      <c r="E109" s="76" t="n">
        <v>69965</v>
      </c>
      <c r="F109" s="75" t="n">
        <f aca="false">IF(D56="","",IF(20&gt;IF(D59="",10,D59),"",D56*(1+IF(D57="",0,D57))^ROUNDDOWN((20-1)/IF(D58="",5,D58),0)))</f>
        <v>58940.553528</v>
      </c>
      <c r="G109" s="75" t="n">
        <f aca="false">IF(F109="","",IF((IF(D66="",IF($D$35="",0,$D$35),D66))=0,0,MAX(0,3700300.38-(IF(D67&lt;&gt;"",D67,IF($D$37&lt;&gt;"",$D$37,IF((IF(D66="",IF($D$35="",0,$D$35),D66))=0,0,D56/(IF(D66="",IF($D$35="",0,$D$35),D66)))))))*(IF(D66="",IF($D$35="",0,$D$35),D66))))</f>
        <v>0</v>
      </c>
      <c r="H109" s="75" t="n">
        <f aca="false">IF(F109="","",F109+G109)</f>
        <v>58940.553528</v>
      </c>
      <c r="I109" s="75" t="str">
        <f aca="false">IF(E56="","",IF(20&gt;IF(E59="",10,E59),"",E56*(1+IF(E57="",0,E57))^ROUNDDOWN((20-1)/IF(E58="",5,E58),0)))</f>
        <v/>
      </c>
      <c r="J109" s="75" t="str">
        <f aca="false">IF(I109="","",IF((IF(E66="",IF($D$35="",0,$D$35),E66))=0,0,MAX(0,3700300.38-(IF(E67&lt;&gt;"",E67,IF($D$37&lt;&gt;"",$D$37,IF((IF(E66="",IF($D$35="",0,$D$35),E66))=0,0,E56/(IF(E66="",IF($D$35="",0,$D$35),E66)))))))*(IF(E66="",IF($D$35="",0,$D$35),E66))))</f>
        <v/>
      </c>
      <c r="K109" s="75" t="str">
        <f aca="false">IF(I109="","",I109+J109)</f>
        <v/>
      </c>
      <c r="L109" s="75" t="str">
        <f aca="false">IF(F56="","",IF(20&gt;IF(F59="",10,F59),"",F56*(1+IF(F57="",0,F57))^ROUNDDOWN((20-1)/IF(F58="",5,F58),0)))</f>
        <v/>
      </c>
      <c r="M109" s="75" t="str">
        <f aca="false">IF(L109="","",IF((IF(F66="",IF($D$35="",0,$D$35),F66))=0,0,MAX(0,3700300.38-(IF(F67&lt;&gt;"",F67,IF($D$37&lt;&gt;"",$D$37,IF((IF(F66="",IF($D$35="",0,$D$35),F66))=0,0,F56/(IF(F66="",IF($D$35="",0,$D$35),F66)))))))*(IF(F66="",IF($D$35="",0,$D$35),F66))))</f>
        <v/>
      </c>
      <c r="N109" s="75" t="str">
        <f aca="false">IF(L109="","",L109+M109)</f>
        <v/>
      </c>
      <c r="O109" s="75" t="str">
        <f aca="false">IF(G56="","",IF(20&gt;IF(G59="",10,G59),"",G56*(1+IF(G57="",0,G57))^ROUNDDOWN((20-1)/IF(G58="",5,G58),0)))</f>
        <v/>
      </c>
      <c r="P109" s="75" t="str">
        <f aca="false">IF(O109="","",IF((IF(G66="",IF($D$35="",0,$D$35),G66))=0,0,MAX(0,3700300.38-(IF(G67&lt;&gt;"",G67,IF($D$37&lt;&gt;"",$D$37,IF((IF(G66="",IF($D$35="",0,$D$35),G66))=0,0,G56/(IF(G66="",IF($D$35="",0,$D$35),G66)))))))*(IF(G66="",IF($D$35="",0,$D$35),G66))))</f>
        <v/>
      </c>
      <c r="Q109" s="75" t="str">
        <f aca="false">IF(O109="","",O109+P109)</f>
        <v/>
      </c>
      <c r="R109" s="75" t="str">
        <f aca="false">IF(H56="","",IF(20&gt;IF(H59="",10,H59),"",H56*(1+IF(H57="",0,H57))^ROUNDDOWN((20-1)/IF(H58="",5,H58),0)))</f>
        <v/>
      </c>
      <c r="S109" s="75" t="str">
        <f aca="false">IF(R109="","",IF((IF(H66="",IF($D$35="",0,$D$35),H66))=0,0,MAX(0,3700300.38-(IF(H67&lt;&gt;"",H67,IF($D$37&lt;&gt;"",$D$37,IF((IF(H66="",IF($D$35="",0,$D$35),H66))=0,0,H56/(IF(H66="",IF($D$35="",0,$D$35),H66)))))))*(IF(H66="",IF($D$35="",0,$D$35),H66))))</f>
        <v/>
      </c>
      <c r="T109" s="75" t="str">
        <f aca="false">IF(R109="","",R109+S109)</f>
        <v/>
      </c>
    </row>
    <row r="110" customFormat="false" ht="15" hidden="false" customHeight="false" outlineLevel="0" collapsed="false">
      <c r="A110" s="77" t="s">
        <v>394</v>
      </c>
      <c r="C110" s="78" t="n">
        <f aca="false">IF(COUNT(C90:C109)=0,"",SUM(C90:C109))</f>
        <v>1251360</v>
      </c>
      <c r="D110" s="78" t="n">
        <f aca="false">IF(COUNT(D90:D109)=0,"",SUM(D90:D109))</f>
        <v>0</v>
      </c>
      <c r="E110" s="78" t="n">
        <f aca="false">IF(COUNT(E90:E109)=0,"",SUM(E90:E109))</f>
        <v>1251360</v>
      </c>
      <c r="F110" s="78" t="n">
        <f aca="false">IF(COUNT(F90:F109)=0,"",SUM(F90:F109))</f>
        <v>1144591.14964</v>
      </c>
      <c r="G110" s="78" t="n">
        <f aca="false">IF(COUNT(G90:G109)=0,"",SUM(G90:G109))</f>
        <v>0</v>
      </c>
      <c r="H110" s="78" t="n">
        <f aca="false">IF(COUNT(H90:H109)=0,"",SUM(H90:H109))</f>
        <v>1144591.14964</v>
      </c>
      <c r="I110" s="78" t="str">
        <f aca="false">IF(COUNT(I90:I109)=0,"",SUM(I90:I109))</f>
        <v/>
      </c>
      <c r="J110" s="78" t="str">
        <f aca="false">IF(COUNT(J90:J109)=0,"",SUM(J90:J109))</f>
        <v/>
      </c>
      <c r="K110" s="78" t="str">
        <f aca="false">IF(COUNT(K90:K109)=0,"",SUM(K90:K109))</f>
        <v/>
      </c>
      <c r="L110" s="78" t="str">
        <f aca="false">IF(COUNT(L90:L109)=0,"",SUM(L90:L109))</f>
        <v/>
      </c>
      <c r="M110" s="78" t="str">
        <f aca="false">IF(COUNT(M90:M109)=0,"",SUM(M90:M109))</f>
        <v/>
      </c>
      <c r="N110" s="78" t="str">
        <f aca="false">IF(COUNT(N90:N109)=0,"",SUM(N90:N109))</f>
        <v/>
      </c>
      <c r="O110" s="78" t="str">
        <f aca="false">IF(COUNT(O90:O109)=0,"",SUM(O90:O109))</f>
        <v/>
      </c>
      <c r="P110" s="78" t="str">
        <f aca="false">IF(COUNT(P90:P109)=0,"",SUM(P90:P109))</f>
        <v/>
      </c>
      <c r="Q110" s="78" t="str">
        <f aca="false">IF(COUNT(Q90:Q109)=0,"",SUM(Q90:Q109))</f>
        <v/>
      </c>
      <c r="R110" s="78" t="str">
        <f aca="false">IF(COUNT(R90:R109)=0,"",SUM(R90:R109))</f>
        <v/>
      </c>
      <c r="S110" s="78" t="str">
        <f aca="false">IF(COUNT(S90:S109)=0,"",SUM(S90:S109))</f>
        <v/>
      </c>
      <c r="T110" s="78" t="str">
        <f aca="false">IF(COUNT(T90:T109)=0,"",SUM(T90:T109))</f>
        <v/>
      </c>
    </row>
    <row r="111" customFormat="false" ht="15" hidden="false" customHeight="false" outlineLevel="0" collapsed="false">
      <c r="A111" s="69" t="s">
        <v>395</v>
      </c>
      <c r="B111" s="69"/>
      <c r="C111" s="69"/>
      <c r="D111" s="69"/>
      <c r="E111" s="69"/>
      <c r="F111" s="69"/>
      <c r="G111" s="69"/>
      <c r="H111" s="69"/>
      <c r="I111" s="69"/>
      <c r="J111" s="69"/>
      <c r="K111" s="69"/>
      <c r="L111" s="69"/>
      <c r="M111" s="69"/>
      <c r="N111" s="69"/>
      <c r="O111" s="69"/>
      <c r="P111" s="69"/>
      <c r="Q111" s="69"/>
      <c r="R111" s="69"/>
      <c r="S111" s="69"/>
      <c r="T111" s="69"/>
    </row>
  </sheetData>
  <mergeCells count="83">
    <mergeCell ref="A2:J2"/>
    <mergeCell ref="A3:J3"/>
    <mergeCell ref="A4:J4"/>
    <mergeCell ref="A5:J5"/>
    <mergeCell ref="A6:J6"/>
    <mergeCell ref="A7:J7"/>
    <mergeCell ref="A8:J8"/>
    <mergeCell ref="A10:C10"/>
    <mergeCell ref="D10:J10"/>
    <mergeCell ref="A11:C11"/>
    <mergeCell ref="D11:J11"/>
    <mergeCell ref="A12:C12"/>
    <mergeCell ref="D12:J12"/>
    <mergeCell ref="A13:C13"/>
    <mergeCell ref="D13:J13"/>
    <mergeCell ref="A14:C14"/>
    <mergeCell ref="D14:J14"/>
    <mergeCell ref="G17:J17"/>
    <mergeCell ref="G18:J18"/>
    <mergeCell ref="G19:J19"/>
    <mergeCell ref="G20:J20"/>
    <mergeCell ref="A21:D21"/>
    <mergeCell ref="A22:J22"/>
    <mergeCell ref="A25:C25"/>
    <mergeCell ref="A26:C26"/>
    <mergeCell ref="E26:J26"/>
    <mergeCell ref="A27:C27"/>
    <mergeCell ref="E27:J27"/>
    <mergeCell ref="A28:C28"/>
    <mergeCell ref="A29:C29"/>
    <mergeCell ref="A30:C30"/>
    <mergeCell ref="E30:J30"/>
    <mergeCell ref="A31:J31"/>
    <mergeCell ref="A32:J32"/>
    <mergeCell ref="A35:C35"/>
    <mergeCell ref="E35:J35"/>
    <mergeCell ref="A36:C36"/>
    <mergeCell ref="E36:J36"/>
    <mergeCell ref="A37:C37"/>
    <mergeCell ref="E37:J37"/>
    <mergeCell ref="A38:C38"/>
    <mergeCell ref="E38:J38"/>
    <mergeCell ref="A39:C39"/>
    <mergeCell ref="A40:C40"/>
    <mergeCell ref="A41:C41"/>
    <mergeCell ref="A42:C42"/>
    <mergeCell ref="A51:G51"/>
    <mergeCell ref="A54:C54"/>
    <mergeCell ref="A55:C55"/>
    <mergeCell ref="A56:C56"/>
    <mergeCell ref="A57:C57"/>
    <mergeCell ref="A58:C58"/>
    <mergeCell ref="A59:C59"/>
    <mergeCell ref="A60:C60"/>
    <mergeCell ref="A61:C61"/>
    <mergeCell ref="A62:C62"/>
    <mergeCell ref="A63:C63"/>
    <mergeCell ref="A64:C64"/>
    <mergeCell ref="A65:C65"/>
    <mergeCell ref="A66:C66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78:C78"/>
    <mergeCell ref="A79:C79"/>
    <mergeCell ref="A81:J81"/>
    <mergeCell ref="A83:J83"/>
    <mergeCell ref="A87:T87"/>
    <mergeCell ref="C88:E88"/>
    <mergeCell ref="F88:H88"/>
    <mergeCell ref="I88:K88"/>
    <mergeCell ref="L88:N88"/>
    <mergeCell ref="O88:Q88"/>
    <mergeCell ref="R88:T88"/>
    <mergeCell ref="A111:T11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T10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6"/>
    <col collapsed="false" customWidth="true" hidden="false" outlineLevel="0" max="2" min="2" style="0" width="22"/>
    <col collapsed="false" customWidth="true" hidden="false" outlineLevel="0" max="3" min="3" style="0" width="11"/>
    <col collapsed="false" customWidth="true" hidden="false" outlineLevel="0" max="4" min="4" style="0" width="14"/>
    <col collapsed="false" customWidth="true" hidden="false" outlineLevel="0" max="6" min="5" style="0" width="12"/>
    <col collapsed="false" customWidth="true" hidden="false" outlineLevel="0" max="7" min="7" style="0" width="14"/>
    <col collapsed="false" customWidth="true" hidden="false" outlineLevel="0" max="9" min="8" style="0" width="13"/>
    <col collapsed="false" customWidth="true" hidden="false" outlineLevel="0" max="10" min="10" style="0" width="26"/>
  </cols>
  <sheetData>
    <row r="1" customFormat="false" ht="16.15" hidden="false" customHeight="false" outlineLevel="0" collapsed="false">
      <c r="A1" s="3" t="s">
        <v>732</v>
      </c>
    </row>
    <row r="2" customFormat="false" ht="25.5" hidden="false" customHeight="true" outlineLevel="0" collapsed="false">
      <c r="A2" s="12" t="s">
        <v>251</v>
      </c>
      <c r="B2" s="12"/>
      <c r="C2" s="12"/>
      <c r="D2" s="12"/>
      <c r="E2" s="12"/>
      <c r="F2" s="12"/>
      <c r="G2" s="12"/>
      <c r="H2" s="12"/>
      <c r="I2" s="12"/>
      <c r="J2" s="12"/>
    </row>
    <row r="3" customFormat="false" ht="15" hidden="false" customHeight="true" outlineLevel="0" collapsed="false">
      <c r="A3" s="16" t="s">
        <v>733</v>
      </c>
      <c r="B3" s="16"/>
      <c r="C3" s="16"/>
      <c r="D3" s="16"/>
      <c r="E3" s="16"/>
      <c r="F3" s="16"/>
      <c r="G3" s="16"/>
      <c r="H3" s="16"/>
      <c r="I3" s="16"/>
      <c r="J3" s="16"/>
    </row>
    <row r="4" customFormat="false" ht="30" hidden="false" customHeight="true" outlineLevel="0" collapsed="false">
      <c r="A4" s="17" t="s">
        <v>73</v>
      </c>
      <c r="B4" s="17"/>
      <c r="C4" s="17"/>
      <c r="D4" s="17"/>
      <c r="E4" s="17"/>
      <c r="F4" s="17"/>
      <c r="G4" s="17"/>
      <c r="H4" s="17"/>
      <c r="I4" s="17"/>
      <c r="J4" s="17"/>
    </row>
    <row r="5" customFormat="false" ht="15" hidden="false" customHeight="true" outlineLevel="0" collapsed="false">
      <c r="A5" s="18" t="s">
        <v>17</v>
      </c>
      <c r="B5" s="18"/>
      <c r="C5" s="18"/>
      <c r="D5" s="18"/>
      <c r="E5" s="18"/>
      <c r="F5" s="18"/>
      <c r="G5" s="18"/>
      <c r="H5" s="18"/>
      <c r="I5" s="18"/>
      <c r="J5" s="18"/>
    </row>
    <row r="6" customFormat="false" ht="15" hidden="false" customHeight="true" outlineLevel="0" collapsed="false">
      <c r="A6" s="19" t="s">
        <v>74</v>
      </c>
      <c r="B6" s="19"/>
      <c r="C6" s="19"/>
      <c r="D6" s="19"/>
      <c r="E6" s="19"/>
      <c r="F6" s="19"/>
      <c r="G6" s="19"/>
      <c r="H6" s="19"/>
      <c r="I6" s="19"/>
      <c r="J6" s="19"/>
    </row>
    <row r="7" customFormat="false" ht="23.85" hidden="false" customHeight="true" outlineLevel="0" collapsed="false">
      <c r="A7" s="20" t="s">
        <v>734</v>
      </c>
      <c r="B7" s="20"/>
      <c r="C7" s="20"/>
      <c r="D7" s="20"/>
      <c r="E7" s="20"/>
      <c r="F7" s="20"/>
      <c r="G7" s="20"/>
      <c r="H7" s="20"/>
      <c r="I7" s="20"/>
      <c r="J7" s="20"/>
    </row>
    <row r="8" customFormat="false" ht="15" hidden="false" customHeight="true" outlineLevel="0" collapsed="false">
      <c r="A8" s="21" t="s">
        <v>254</v>
      </c>
      <c r="B8" s="21"/>
      <c r="C8" s="21"/>
      <c r="D8" s="21"/>
      <c r="E8" s="21"/>
      <c r="F8" s="21"/>
      <c r="G8" s="21"/>
      <c r="H8" s="21"/>
      <c r="I8" s="21"/>
      <c r="J8" s="21"/>
    </row>
    <row r="10" customFormat="false" ht="15" hidden="false" customHeight="true" outlineLevel="0" collapsed="false">
      <c r="A10" s="22" t="s">
        <v>255</v>
      </c>
      <c r="B10" s="22"/>
      <c r="C10" s="22"/>
      <c r="D10" s="23" t="s">
        <v>735</v>
      </c>
      <c r="E10" s="23"/>
      <c r="F10" s="23"/>
      <c r="G10" s="23"/>
      <c r="H10" s="23"/>
      <c r="I10" s="23"/>
      <c r="J10" s="23"/>
    </row>
    <row r="11" customFormat="false" ht="15" hidden="false" customHeight="true" outlineLevel="0" collapsed="false">
      <c r="A11" s="22" t="s">
        <v>257</v>
      </c>
      <c r="B11" s="22"/>
      <c r="C11" s="22"/>
      <c r="D11" s="23" t="s">
        <v>736</v>
      </c>
      <c r="E11" s="23"/>
      <c r="F11" s="23"/>
      <c r="G11" s="23"/>
      <c r="H11" s="23"/>
      <c r="I11" s="23"/>
      <c r="J11" s="23"/>
    </row>
    <row r="12" customFormat="false" ht="15" hidden="false" customHeight="true" outlineLevel="0" collapsed="false">
      <c r="A12" s="22" t="s">
        <v>259</v>
      </c>
      <c r="B12" s="22"/>
      <c r="C12" s="22"/>
      <c r="D12" s="86"/>
      <c r="E12" s="86"/>
      <c r="F12" s="86"/>
      <c r="G12" s="86"/>
      <c r="H12" s="86"/>
      <c r="I12" s="86"/>
      <c r="J12" s="86"/>
    </row>
    <row r="13" customFormat="false" ht="15" hidden="false" customHeight="true" outlineLevel="0" collapsed="false">
      <c r="A13" s="22" t="s">
        <v>261</v>
      </c>
      <c r="B13" s="22"/>
      <c r="C13" s="22"/>
      <c r="D13" s="24" t="n">
        <v>1725000</v>
      </c>
      <c r="E13" s="24"/>
      <c r="F13" s="24"/>
      <c r="G13" s="24"/>
      <c r="H13" s="24"/>
      <c r="I13" s="24"/>
      <c r="J13" s="24"/>
    </row>
    <row r="14" customFormat="false" ht="23.85" hidden="false" customHeight="true" outlineLevel="0" collapsed="false">
      <c r="A14" s="22" t="s">
        <v>262</v>
      </c>
      <c r="B14" s="22"/>
      <c r="C14" s="22"/>
      <c r="D14" s="22" t="s">
        <v>737</v>
      </c>
      <c r="E14" s="22"/>
      <c r="F14" s="22"/>
      <c r="G14" s="22"/>
      <c r="H14" s="22"/>
      <c r="I14" s="22"/>
      <c r="J14" s="22"/>
    </row>
    <row r="16" customFormat="false" ht="15" hidden="false" customHeight="false" outlineLevel="0" collapsed="false">
      <c r="A16" s="25" t="s">
        <v>264</v>
      </c>
    </row>
    <row r="17" customFormat="false" ht="22.35" hidden="false" customHeight="true" outlineLevel="0" collapsed="false">
      <c r="A17" s="26" t="s">
        <v>265</v>
      </c>
      <c r="B17" s="26" t="s">
        <v>266</v>
      </c>
      <c r="C17" s="26" t="s">
        <v>267</v>
      </c>
      <c r="D17" s="26" t="s">
        <v>268</v>
      </c>
      <c r="E17" s="26" t="s">
        <v>269</v>
      </c>
      <c r="F17" s="26" t="s">
        <v>270</v>
      </c>
      <c r="G17" s="26" t="s">
        <v>271</v>
      </c>
      <c r="H17" s="26"/>
      <c r="I17" s="26"/>
      <c r="J17" s="26"/>
    </row>
    <row r="18" customFormat="false" ht="23.85" hidden="false" customHeight="true" outlineLevel="0" collapsed="false">
      <c r="A18" s="27" t="s">
        <v>738</v>
      </c>
      <c r="B18" s="28" t="s">
        <v>739</v>
      </c>
      <c r="C18" s="28" t="s">
        <v>740</v>
      </c>
      <c r="D18" s="29" t="n">
        <v>6655</v>
      </c>
      <c r="E18" s="30" t="n">
        <f aca="false">IF(D18="","",D18*12)</f>
        <v>79860</v>
      </c>
      <c r="F18" s="31" t="n">
        <v>0.9</v>
      </c>
      <c r="G18" s="32" t="s">
        <v>741</v>
      </c>
      <c r="H18" s="32"/>
      <c r="I18" s="32"/>
      <c r="J18" s="32"/>
    </row>
    <row r="19" customFormat="false" ht="15" hidden="false" customHeight="true" outlineLevel="0" collapsed="false">
      <c r="A19" s="27" t="s">
        <v>742</v>
      </c>
      <c r="B19" s="28" t="s">
        <v>740</v>
      </c>
      <c r="C19" s="28" t="s">
        <v>743</v>
      </c>
      <c r="D19" s="80" t="n">
        <v>7320.5</v>
      </c>
      <c r="E19" s="30" t="n">
        <f aca="false">IF(D19="","",D19*12)</f>
        <v>87846</v>
      </c>
      <c r="F19" s="31" t="n">
        <v>5</v>
      </c>
      <c r="G19" s="32" t="s">
        <v>658</v>
      </c>
      <c r="H19" s="32"/>
      <c r="I19" s="32"/>
      <c r="J19" s="32"/>
    </row>
    <row r="20" customFormat="false" ht="15" hidden="false" customHeight="true" outlineLevel="0" collapsed="false">
      <c r="A20" s="27" t="s">
        <v>744</v>
      </c>
      <c r="B20" s="28" t="s">
        <v>743</v>
      </c>
      <c r="C20" s="28" t="s">
        <v>745</v>
      </c>
      <c r="D20" s="80" t="n">
        <v>8052.55</v>
      </c>
      <c r="E20" s="30" t="n">
        <f aca="false">IF(D20="","",D20*12)</f>
        <v>96630.6</v>
      </c>
      <c r="F20" s="31" t="n">
        <v>4.1</v>
      </c>
      <c r="G20" s="32" t="s">
        <v>658</v>
      </c>
      <c r="H20" s="32"/>
      <c r="I20" s="32"/>
      <c r="J20" s="32"/>
    </row>
    <row r="21" customFormat="false" ht="15" hidden="false" customHeight="false" outlineLevel="0" collapsed="false">
      <c r="A21" s="34" t="s">
        <v>284</v>
      </c>
      <c r="B21" s="34"/>
      <c r="C21" s="34"/>
      <c r="D21" s="34"/>
      <c r="E21" s="35" t="n">
        <f aca="false">IF(SUMPRODUCT(E18:E20,F18:F20)=0,"",SUMPRODUCT(E18:E20,F18:F20))</f>
        <v>907289.46</v>
      </c>
      <c r="F21" s="36"/>
      <c r="G21" s="36"/>
      <c r="H21" s="36"/>
      <c r="I21" s="36"/>
      <c r="J21" s="36"/>
    </row>
    <row r="22" customFormat="false" ht="15" hidden="false" customHeight="false" outlineLevel="0" collapsed="false">
      <c r="A22" s="81" t="s">
        <v>483</v>
      </c>
      <c r="B22" s="81"/>
      <c r="C22" s="81"/>
      <c r="D22" s="81"/>
      <c r="E22" s="81"/>
      <c r="F22" s="81"/>
      <c r="G22" s="81"/>
      <c r="H22" s="81"/>
      <c r="I22" s="81"/>
      <c r="J22" s="81"/>
    </row>
    <row r="24" customFormat="false" ht="15" hidden="false" customHeight="false" outlineLevel="0" collapsed="false">
      <c r="A24" s="25" t="s">
        <v>286</v>
      </c>
    </row>
    <row r="25" customFormat="false" ht="15" hidden="false" customHeight="true" outlineLevel="0" collapsed="false">
      <c r="A25" s="22" t="s">
        <v>287</v>
      </c>
      <c r="B25" s="22"/>
      <c r="C25" s="22"/>
      <c r="D25" s="35" t="n">
        <v>79860</v>
      </c>
      <c r="E25" s="36"/>
      <c r="F25" s="36"/>
      <c r="G25" s="36"/>
      <c r="H25" s="36"/>
      <c r="I25" s="36"/>
      <c r="J25" s="36"/>
    </row>
    <row r="26" customFormat="false" ht="15" hidden="false" customHeight="true" outlineLevel="0" collapsed="false">
      <c r="A26" s="22" t="s">
        <v>288</v>
      </c>
      <c r="B26" s="22"/>
      <c r="C26" s="22"/>
      <c r="D26" s="38" t="n">
        <v>0.046295652173913</v>
      </c>
      <c r="E26" s="39" t="s">
        <v>289</v>
      </c>
      <c r="F26" s="39"/>
      <c r="G26" s="39"/>
      <c r="H26" s="39"/>
      <c r="I26" s="39"/>
      <c r="J26" s="39"/>
    </row>
    <row r="27" customFormat="false" ht="15" hidden="false" customHeight="true" outlineLevel="0" collapsed="false">
      <c r="A27" s="22" t="s">
        <v>746</v>
      </c>
      <c r="B27" s="22"/>
      <c r="C27" s="22"/>
      <c r="D27" s="35" t="n">
        <v>0</v>
      </c>
      <c r="E27" s="39" t="s">
        <v>291</v>
      </c>
      <c r="F27" s="39"/>
      <c r="G27" s="39"/>
      <c r="H27" s="39"/>
      <c r="I27" s="39"/>
      <c r="J27" s="39"/>
    </row>
    <row r="28" customFormat="false" ht="15" hidden="false" customHeight="true" outlineLevel="0" collapsed="false">
      <c r="A28" s="22" t="s">
        <v>292</v>
      </c>
      <c r="B28" s="22"/>
      <c r="C28" s="22"/>
      <c r="D28" s="35" t="n">
        <v>0</v>
      </c>
      <c r="E28" s="36"/>
      <c r="F28" s="36"/>
      <c r="G28" s="36"/>
      <c r="H28" s="36"/>
      <c r="I28" s="36"/>
      <c r="J28" s="36"/>
    </row>
    <row r="29" customFormat="false" ht="15" hidden="false" customHeight="true" outlineLevel="0" collapsed="false">
      <c r="A29" s="22" t="s">
        <v>293</v>
      </c>
      <c r="B29" s="22"/>
      <c r="C29" s="22"/>
      <c r="D29" s="35" t="n">
        <v>79860</v>
      </c>
      <c r="E29" s="36"/>
      <c r="F29" s="36"/>
      <c r="G29" s="36"/>
      <c r="H29" s="36"/>
      <c r="I29" s="36"/>
      <c r="J29" s="36"/>
    </row>
    <row r="30" customFormat="false" ht="15" hidden="false" customHeight="true" outlineLevel="0" collapsed="false">
      <c r="A30" s="22" t="s">
        <v>294</v>
      </c>
      <c r="B30" s="22"/>
      <c r="C30" s="22"/>
      <c r="D30" s="38" t="n">
        <v>0.046295652173913</v>
      </c>
      <c r="E30" s="39" t="s">
        <v>295</v>
      </c>
      <c r="F30" s="39"/>
      <c r="G30" s="39"/>
      <c r="H30" s="39"/>
      <c r="I30" s="39"/>
      <c r="J30" s="39"/>
    </row>
    <row r="31" customFormat="false" ht="27.75" hidden="false" customHeight="true" outlineLevel="0" collapsed="false">
      <c r="A31" s="40" t="s">
        <v>747</v>
      </c>
      <c r="B31" s="40"/>
      <c r="C31" s="40"/>
      <c r="D31" s="40"/>
      <c r="E31" s="40"/>
      <c r="F31" s="40"/>
      <c r="G31" s="40"/>
      <c r="H31" s="40"/>
      <c r="I31" s="40"/>
      <c r="J31" s="40"/>
    </row>
    <row r="32" customFormat="false" ht="15" hidden="false" customHeight="false" outlineLevel="0" collapsed="false">
      <c r="A32" s="41" t="s">
        <v>748</v>
      </c>
      <c r="B32" s="41"/>
      <c r="C32" s="41"/>
      <c r="D32" s="41"/>
      <c r="E32" s="41"/>
      <c r="F32" s="41"/>
      <c r="G32" s="41"/>
      <c r="H32" s="41"/>
      <c r="I32" s="41"/>
      <c r="J32" s="41"/>
    </row>
    <row r="34" customFormat="false" ht="15" hidden="false" customHeight="false" outlineLevel="0" collapsed="false">
      <c r="A34" s="25" t="s">
        <v>298</v>
      </c>
    </row>
    <row r="35" customFormat="false" ht="15" hidden="false" customHeight="true" outlineLevel="0" collapsed="false">
      <c r="A35" s="22" t="s">
        <v>299</v>
      </c>
      <c r="B35" s="22"/>
      <c r="C35" s="22"/>
      <c r="D35" s="42" t="n">
        <v>0</v>
      </c>
      <c r="E35" s="43" t="s">
        <v>300</v>
      </c>
      <c r="F35" s="43"/>
      <c r="G35" s="43"/>
      <c r="H35" s="43"/>
      <c r="I35" s="43"/>
      <c r="J35" s="43"/>
    </row>
    <row r="36" customFormat="false" ht="15" hidden="false" customHeight="true" outlineLevel="0" collapsed="false">
      <c r="A36" s="22" t="s">
        <v>301</v>
      </c>
      <c r="B36" s="22"/>
      <c r="C36" s="22"/>
      <c r="D36" s="34" t="s">
        <v>302</v>
      </c>
      <c r="E36" s="43" t="s">
        <v>303</v>
      </c>
      <c r="F36" s="43"/>
      <c r="G36" s="43"/>
      <c r="H36" s="43"/>
      <c r="I36" s="43"/>
      <c r="J36" s="43"/>
    </row>
    <row r="37" customFormat="false" ht="15" hidden="false" customHeight="true" outlineLevel="0" collapsed="false">
      <c r="A37" s="22" t="s">
        <v>304</v>
      </c>
      <c r="B37" s="22"/>
      <c r="C37" s="22"/>
      <c r="D37" s="44"/>
      <c r="E37" s="43" t="s">
        <v>305</v>
      </c>
      <c r="F37" s="43"/>
      <c r="G37" s="43"/>
      <c r="H37" s="43"/>
      <c r="I37" s="43"/>
      <c r="J37" s="43"/>
    </row>
    <row r="38" customFormat="false" ht="23.85" hidden="false" customHeight="true" outlineLevel="0" collapsed="false">
      <c r="A38" s="22" t="s">
        <v>306</v>
      </c>
      <c r="B38" s="22"/>
      <c r="C38" s="22"/>
      <c r="D38" s="45" t="str">
        <f aca="false">IF(OR($D$35="",E18=""),"",IF($D$35=0,"— (no % rent)",E18/$D$35))</f>
        <v>— (no % rent)</v>
      </c>
      <c r="E38" s="43" t="s">
        <v>307</v>
      </c>
      <c r="F38" s="43"/>
      <c r="G38" s="43"/>
      <c r="H38" s="43"/>
      <c r="I38" s="43"/>
      <c r="J38" s="43"/>
    </row>
    <row r="39" customFormat="false" ht="23.85" hidden="false" customHeight="true" outlineLevel="0" collapsed="false">
      <c r="A39" s="22" t="s">
        <v>308</v>
      </c>
      <c r="B39" s="22"/>
      <c r="C39" s="22"/>
      <c r="D39" s="45" t="str">
        <f aca="false">IF($D$35="","",IF($D$35=0,"— (no % rent)",IF($D$37&lt;&gt;"",$D$37,IF(E18="","",E18/$D$35))))</f>
        <v>— (no % rent)</v>
      </c>
      <c r="E39" s="36"/>
      <c r="F39" s="36"/>
      <c r="G39" s="36"/>
      <c r="H39" s="36"/>
      <c r="I39" s="36"/>
      <c r="J39" s="36"/>
    </row>
    <row r="40" customFormat="false" ht="15" hidden="false" customHeight="true" outlineLevel="0" collapsed="false">
      <c r="A40" s="22" t="s">
        <v>309</v>
      </c>
      <c r="B40" s="22"/>
      <c r="C40" s="22"/>
      <c r="D40" s="45" t="n">
        <f aca="false">IF(OR($D$35="",D13=""),"",IF($D$35=0,0,IF($D$39="","",MAX(0,D13-$D$39)*$D$35)))</f>
        <v>0</v>
      </c>
      <c r="E40" s="36"/>
      <c r="F40" s="36"/>
      <c r="G40" s="36"/>
      <c r="H40" s="36"/>
      <c r="I40" s="36"/>
      <c r="J40" s="36"/>
    </row>
    <row r="41" customFormat="false" ht="15" hidden="false" customHeight="true" outlineLevel="0" collapsed="false">
      <c r="A41" s="22" t="s">
        <v>310</v>
      </c>
      <c r="B41" s="22"/>
      <c r="C41" s="22"/>
      <c r="D41" s="45" t="n">
        <f aca="false">IF(OR(D40="",E18=""),"",E18+D40)</f>
        <v>79860</v>
      </c>
      <c r="E41" s="36"/>
      <c r="F41" s="36"/>
      <c r="G41" s="36"/>
      <c r="H41" s="36"/>
      <c r="I41" s="36"/>
      <c r="J41" s="36"/>
    </row>
    <row r="42" customFormat="false" ht="15" hidden="false" customHeight="true" outlineLevel="0" collapsed="false">
      <c r="A42" s="22" t="s">
        <v>311</v>
      </c>
      <c r="B42" s="22"/>
      <c r="C42" s="22"/>
      <c r="D42" s="46" t="n">
        <f aca="false">IF(OR(D41="",D13=""),"",D41/D13)</f>
        <v>0.046295652173913</v>
      </c>
      <c r="E42" s="36"/>
      <c r="F42" s="36"/>
      <c r="G42" s="36"/>
      <c r="H42" s="36"/>
      <c r="I42" s="36"/>
      <c r="J42" s="36"/>
    </row>
    <row r="44" customFormat="false" ht="15" hidden="false" customHeight="false" outlineLevel="0" collapsed="false">
      <c r="A44" s="25" t="s">
        <v>312</v>
      </c>
    </row>
    <row r="45" customFormat="false" ht="22.35" hidden="false" customHeight="false" outlineLevel="0" collapsed="false">
      <c r="A45" s="26" t="s">
        <v>313</v>
      </c>
      <c r="B45" s="26" t="s">
        <v>314</v>
      </c>
      <c r="C45" s="26" t="s">
        <v>315</v>
      </c>
      <c r="D45" s="26" t="s">
        <v>316</v>
      </c>
      <c r="E45" s="26" t="s">
        <v>317</v>
      </c>
      <c r="F45" s="26" t="s">
        <v>318</v>
      </c>
      <c r="G45" s="26" t="s">
        <v>319</v>
      </c>
      <c r="H45" s="26" t="s">
        <v>269</v>
      </c>
      <c r="I45" s="26" t="s">
        <v>320</v>
      </c>
      <c r="J45" s="26" t="s">
        <v>321</v>
      </c>
    </row>
    <row r="46" customFormat="false" ht="22.35" hidden="false" customHeight="false" outlineLevel="0" collapsed="false">
      <c r="A46" s="48"/>
      <c r="B46" s="47" t="s">
        <v>422</v>
      </c>
      <c r="C46" s="48"/>
      <c r="D46" s="48"/>
      <c r="E46" s="48"/>
      <c r="F46" s="48"/>
      <c r="G46" s="48"/>
      <c r="H46" s="48"/>
      <c r="I46" s="48"/>
      <c r="J46" s="47" t="s">
        <v>423</v>
      </c>
    </row>
    <row r="47" customFormat="false" ht="15" hidden="false" customHeight="false" outlineLevel="0" collapsed="false">
      <c r="A47" s="52" t="s">
        <v>344</v>
      </c>
      <c r="B47" s="52"/>
      <c r="C47" s="52"/>
      <c r="D47" s="52"/>
      <c r="E47" s="52"/>
      <c r="F47" s="52"/>
      <c r="G47" s="52"/>
      <c r="H47" s="53" t="str">
        <f aca="false">IF(COUNT(H46:H46)=0,"",AVERAGE(H46:H46))</f>
        <v/>
      </c>
      <c r="I47" s="52" t="str">
        <f aca="false">IF(COUNT(H46:H46)=0,"",TEXT(MIN(H46:H46),"$#,##0")&amp;" – "&amp;TEXT(MAX(H46:H46),"$#,##0"))</f>
        <v/>
      </c>
      <c r="J47" s="36"/>
    </row>
    <row r="49" customFormat="false" ht="15" hidden="false" customHeight="false" outlineLevel="0" collapsed="false">
      <c r="A49" s="25" t="s">
        <v>345</v>
      </c>
    </row>
    <row r="50" customFormat="false" ht="53.7" hidden="false" customHeight="true" outlineLevel="0" collapsed="false">
      <c r="A50" s="26" t="s">
        <v>346</v>
      </c>
      <c r="B50" s="26"/>
      <c r="C50" s="26"/>
      <c r="D50" s="26" t="s">
        <v>347</v>
      </c>
      <c r="E50" s="26" t="s">
        <v>348</v>
      </c>
      <c r="F50" s="26" t="s">
        <v>349</v>
      </c>
      <c r="G50" s="26" t="s">
        <v>350</v>
      </c>
      <c r="H50" s="54" t="s">
        <v>351</v>
      </c>
    </row>
    <row r="51" customFormat="false" ht="68.65" hidden="false" customHeight="true" outlineLevel="0" collapsed="false">
      <c r="A51" s="22" t="s">
        <v>352</v>
      </c>
      <c r="B51" s="22"/>
      <c r="C51" s="22"/>
      <c r="D51" s="55" t="s">
        <v>353</v>
      </c>
      <c r="E51" s="56"/>
      <c r="F51" s="56"/>
      <c r="G51" s="56"/>
      <c r="H51" s="56"/>
    </row>
    <row r="52" customFormat="false" ht="15" hidden="false" customHeight="true" outlineLevel="0" collapsed="false">
      <c r="A52" s="22" t="s">
        <v>354</v>
      </c>
      <c r="B52" s="22"/>
      <c r="C52" s="22"/>
      <c r="D52" s="57" t="n">
        <v>79860</v>
      </c>
      <c r="E52" s="57"/>
      <c r="F52" s="57"/>
      <c r="G52" s="57"/>
      <c r="H52" s="57"/>
    </row>
    <row r="53" customFormat="false" ht="15" hidden="false" customHeight="true" outlineLevel="0" collapsed="false">
      <c r="A53" s="22" t="s">
        <v>355</v>
      </c>
      <c r="B53" s="22"/>
      <c r="C53" s="22"/>
      <c r="D53" s="82" t="n">
        <v>0.02</v>
      </c>
      <c r="E53" s="58"/>
      <c r="F53" s="58"/>
      <c r="G53" s="58"/>
      <c r="H53" s="58"/>
    </row>
    <row r="54" customFormat="false" ht="15" hidden="false" customHeight="true" outlineLevel="0" collapsed="false">
      <c r="A54" s="22" t="s">
        <v>356</v>
      </c>
      <c r="B54" s="22"/>
      <c r="C54" s="22"/>
      <c r="D54" s="56" t="n">
        <v>5</v>
      </c>
      <c r="E54" s="56"/>
      <c r="F54" s="56"/>
      <c r="G54" s="56"/>
      <c r="H54" s="56"/>
    </row>
    <row r="55" customFormat="false" ht="15" hidden="false" customHeight="true" outlineLevel="0" collapsed="false">
      <c r="A55" s="22" t="s">
        <v>357</v>
      </c>
      <c r="B55" s="22"/>
      <c r="C55" s="22"/>
      <c r="D55" s="59" t="n">
        <v>20</v>
      </c>
      <c r="E55" s="59"/>
      <c r="F55" s="59"/>
      <c r="G55" s="59"/>
      <c r="H55" s="59"/>
    </row>
    <row r="56" customFormat="false" ht="15" hidden="false" customHeight="true" outlineLevel="0" collapsed="false">
      <c r="A56" s="22" t="s">
        <v>358</v>
      </c>
      <c r="B56" s="22"/>
      <c r="C56" s="22"/>
      <c r="D56" s="60" t="n">
        <f aca="false">IF(OR(D52="",E18=""),"",D52-E18)</f>
        <v>0</v>
      </c>
      <c r="E56" s="60" t="str">
        <f aca="false">IF(OR(E52="",E18=""),"",E52-E18)</f>
        <v/>
      </c>
      <c r="F56" s="60" t="str">
        <f aca="false">IF(OR(F52="",E18=""),"",F52-E18)</f>
        <v/>
      </c>
      <c r="G56" s="60" t="str">
        <f aca="false">IF(OR(G52="",E18=""),"",G52-E18)</f>
        <v/>
      </c>
      <c r="H56" s="60" t="str">
        <f aca="false">IF(OR(H52="",E18=""),"",H52-E18)</f>
        <v/>
      </c>
    </row>
    <row r="57" customFormat="false" ht="15" hidden="false" customHeight="true" outlineLevel="0" collapsed="false">
      <c r="A57" s="22" t="s">
        <v>359</v>
      </c>
      <c r="B57" s="22"/>
      <c r="C57" s="22"/>
      <c r="D57" s="61" t="n">
        <f aca="false">IF(OR(D52="",E18=""),"",(D52-E18)/E18)</f>
        <v>0</v>
      </c>
      <c r="E57" s="61" t="str">
        <f aca="false">IF(OR(E52="",E18=""),"",(E52-E18)/E18)</f>
        <v/>
      </c>
      <c r="F57" s="61" t="str">
        <f aca="false">IF(OR(F52="",E18=""),"",(F52-E18)/E18)</f>
        <v/>
      </c>
      <c r="G57" s="61" t="str">
        <f aca="false">IF(OR(G52="",E18=""),"",(G52-E18)/E18)</f>
        <v/>
      </c>
      <c r="H57" s="61" t="str">
        <f aca="false">IF(OR(H52="",E18=""),"",(H52-E18)/E18)</f>
        <v/>
      </c>
    </row>
    <row r="58" customFormat="false" ht="15" hidden="false" customHeight="true" outlineLevel="0" collapsed="false">
      <c r="A58" s="22" t="s">
        <v>360</v>
      </c>
      <c r="B58" s="22"/>
      <c r="C58" s="22"/>
      <c r="D58" s="62" t="n">
        <f aca="false">IF(OR(D52="",D13=""),"",D52/D13)</f>
        <v>0.046295652173913</v>
      </c>
      <c r="E58" s="62" t="str">
        <f aca="false">IF(OR(E52="",D13=""),"",E52/D13)</f>
        <v/>
      </c>
      <c r="F58" s="62" t="str">
        <f aca="false">IF(OR(F52="",D13=""),"",F52/D13)</f>
        <v/>
      </c>
      <c r="G58" s="62" t="str">
        <f aca="false">IF(OR(G52="",D13=""),"",G52/D13)</f>
        <v/>
      </c>
      <c r="H58" s="62" t="str">
        <f aca="false">IF(OR(H52="",D13=""),"",H52/D13)</f>
        <v/>
      </c>
    </row>
    <row r="59" customFormat="false" ht="15" hidden="false" customHeight="true" outlineLevel="0" collapsed="false">
      <c r="A59" s="22" t="s">
        <v>361</v>
      </c>
      <c r="B59" s="22"/>
      <c r="C59" s="22"/>
      <c r="D59" s="61" t="str">
        <f aca="false">IF(OR(D52="",H47=""),"",(D52-H47)/H47)</f>
        <v/>
      </c>
      <c r="E59" s="61" t="str">
        <f aca="false">IF(OR(E52="",H47=""),"",(E52-H47)/H47)</f>
        <v/>
      </c>
      <c r="F59" s="61" t="str">
        <f aca="false">IF(OR(F52="",H47=""),"",(F52-H47)/H47)</f>
        <v/>
      </c>
      <c r="G59" s="61" t="str">
        <f aca="false">IF(OR(G52="",H47=""),"",(G52-H47)/H47)</f>
        <v/>
      </c>
      <c r="H59" s="61" t="str">
        <f aca="false">IF(OR(H52="",H47=""),"",(H52-H47)/H47)</f>
        <v/>
      </c>
    </row>
    <row r="60" customFormat="false" ht="15" hidden="false" customHeight="true" outlineLevel="0" collapsed="false">
      <c r="A60" s="22" t="s">
        <v>362</v>
      </c>
      <c r="B60" s="22"/>
      <c r="C60" s="22"/>
      <c r="D60" s="63" t="n">
        <f aca="true">IF(D52="","",SUMPRODUCT(D52*(1+IF(D53="",0,D53))^ROUNDDOWN((ROW(INDIRECT("1:10"))-1)/IF(D54="",5,D54),0)))</f>
        <v>806586</v>
      </c>
      <c r="E60" s="63" t="str">
        <f aca="true">IF(E52="","",SUMPRODUCT(E52*(1+IF(E53="",0,E53))^ROUNDDOWN((ROW(INDIRECT("1:10"))-1)/IF(E54="",5,E54),0)))</f>
        <v/>
      </c>
      <c r="F60" s="63" t="str">
        <f aca="true">IF(F52="","",SUMPRODUCT(F52*(1+IF(F53="",0,F53))^ROUNDDOWN((ROW(INDIRECT("1:10"))-1)/IF(F54="",5,F54),0)))</f>
        <v/>
      </c>
      <c r="G60" s="63" t="str">
        <f aca="true">IF(G52="","",SUMPRODUCT(G52*(1+IF(G53="",0,G53))^ROUNDDOWN((ROW(INDIRECT("1:10"))-1)/IF(G54="",5,G54),0)))</f>
        <v/>
      </c>
      <c r="H60" s="63" t="str">
        <f aca="true">IF(H52="","",SUMPRODUCT(H52*(1+IF(H53="",0,H53))^ROUNDDOWN((ROW(INDIRECT("1:10"))-1)/IF(H54="",5,H54),0)))</f>
        <v/>
      </c>
    </row>
    <row r="61" customFormat="false" ht="15" hidden="false" customHeight="true" outlineLevel="0" collapsed="false">
      <c r="A61" s="22" t="s">
        <v>363</v>
      </c>
      <c r="B61" s="22"/>
      <c r="C61" s="22"/>
      <c r="D61" s="60" t="n">
        <f aca="false">IF(OR(D60="",E21=""),"",D60-E21)</f>
        <v>-100703.46</v>
      </c>
      <c r="E61" s="60" t="str">
        <f aca="false">IF(OR(E60="",E21=""),"",E60-E21)</f>
        <v/>
      </c>
      <c r="F61" s="60" t="str">
        <f aca="false">IF(OR(F60="",E21=""),"",F60-E21)</f>
        <v/>
      </c>
      <c r="G61" s="60" t="str">
        <f aca="false">IF(OR(G60="",E21=""),"",G60-E21)</f>
        <v/>
      </c>
      <c r="H61" s="60" t="str">
        <f aca="false">IF(OR(H60="",E21=""),"",H60-E21)</f>
        <v/>
      </c>
    </row>
    <row r="62" customFormat="false" ht="23.85" hidden="false" customHeight="true" outlineLevel="0" collapsed="false">
      <c r="A62" s="22" t="s">
        <v>364</v>
      </c>
      <c r="B62" s="22"/>
      <c r="C62" s="22"/>
      <c r="D62" s="58"/>
      <c r="E62" s="58"/>
      <c r="F62" s="58"/>
      <c r="G62" s="58"/>
      <c r="H62" s="58"/>
    </row>
    <row r="63" customFormat="false" ht="23.85" hidden="false" customHeight="true" outlineLevel="0" collapsed="false">
      <c r="A63" s="22" t="s">
        <v>365</v>
      </c>
      <c r="B63" s="22"/>
      <c r="C63" s="22"/>
      <c r="D63" s="57"/>
      <c r="E63" s="57"/>
      <c r="F63" s="57"/>
      <c r="G63" s="57"/>
      <c r="H63" s="57"/>
    </row>
    <row r="64" customFormat="false" ht="15" hidden="false" customHeight="true" outlineLevel="0" collapsed="false">
      <c r="A64" s="22" t="s">
        <v>366</v>
      </c>
      <c r="B64" s="22"/>
      <c r="C64" s="22"/>
      <c r="D64" s="63" t="str">
        <f aca="false">IF(OR(D52="",AND(D62="",$D$35="")),"",IF(IF(D62="",IF($D$35="",0,$D$35),D62)=0,"— (% rent removed)",IF(D63&lt;&gt;"",D63,IF($D$37&lt;&gt;"",$D$37,D52/IF(D62="",IF($D$35="",0,$D$35),D62)))))</f>
        <v>— (% rent removed)</v>
      </c>
      <c r="E64" s="63" t="str">
        <f aca="false">IF(OR(E52="",AND(E62="",$D$35="")),"",IF(IF(E62="",IF($D$35="",0,$D$35),E62)=0,"— (% rent removed)",IF(E63&lt;&gt;"",E63,IF($D$37&lt;&gt;"",$D$37,E52/IF(E62="",IF($D$35="",0,$D$35),E62)))))</f>
        <v/>
      </c>
      <c r="F64" s="63" t="str">
        <f aca="false">IF(OR(F52="",AND(F62="",$D$35="")),"",IF(IF(F62="",IF($D$35="",0,$D$35),F62)=0,"— (% rent removed)",IF(F63&lt;&gt;"",F63,IF($D$37&lt;&gt;"",$D$37,F52/IF(F62="",IF($D$35="",0,$D$35),F62)))))</f>
        <v/>
      </c>
      <c r="G64" s="63" t="str">
        <f aca="false">IF(OR(G52="",AND(G62="",$D$35="")),"",IF(IF(G62="",IF($D$35="",0,$D$35),G62)=0,"— (% rent removed)",IF(G63&lt;&gt;"",G63,IF($D$37&lt;&gt;"",$D$37,G52/IF(G62="",IF($D$35="",0,$D$35),G62)))))</f>
        <v/>
      </c>
      <c r="H64" s="63" t="str">
        <f aca="false">IF(OR(H52="",AND(H62="",$D$35="")),"",IF(IF(H62="",IF($D$35="",0,$D$35),H62)=0,"— (% rent removed)",IF(H63&lt;&gt;"",H63,IF($D$37&lt;&gt;"",$D$37,H52/IF(H62="",IF($D$35="",0,$D$35),H62)))))</f>
        <v/>
      </c>
    </row>
    <row r="65" customFormat="false" ht="15" hidden="false" customHeight="true" outlineLevel="0" collapsed="false">
      <c r="A65" s="22" t="s">
        <v>367</v>
      </c>
      <c r="B65" s="22"/>
      <c r="C65" s="22"/>
      <c r="D65" s="63" t="n">
        <f aca="false">IF(OR(D52="",AND(D62="",$D$35=""),D13=""),"",IF(IF(D62="",IF($D$35="",0,$D$35),D62)=0,0,MAX(0,D13-D64)*IF(D62="",IF($D$35="",0,$D$35),D62)))</f>
        <v>0</v>
      </c>
      <c r="E65" s="63" t="str">
        <f aca="false">IF(OR(E52="",AND(E62="",$D$35=""),D13=""),"",IF(IF(E62="",IF($D$35="",0,$D$35),E62)=0,0,MAX(0,D13-E64)*IF(E62="",IF($D$35="",0,$D$35),E62)))</f>
        <v/>
      </c>
      <c r="F65" s="63" t="str">
        <f aca="false">IF(OR(F52="",AND(F62="",$D$35=""),D13=""),"",IF(IF(F62="",IF($D$35="",0,$D$35),F62)=0,0,MAX(0,D13-F64)*IF(F62="",IF($D$35="",0,$D$35),F62)))</f>
        <v/>
      </c>
      <c r="G65" s="63" t="str">
        <f aca="false">IF(OR(G52="",AND(G62="",$D$35=""),D13=""),"",IF(IF(G62="",IF($D$35="",0,$D$35),G62)=0,0,MAX(0,D13-G64)*IF(G62="",IF($D$35="",0,$D$35),G62)))</f>
        <v/>
      </c>
      <c r="H65" s="63" t="str">
        <f aca="false">IF(OR(H52="",AND(H62="",$D$35=""),D13=""),"",IF(IF(H62="",IF($D$35="",0,$D$35),H62)=0,0,MAX(0,D13-H64)*IF(H62="",IF($D$35="",0,$D$35),H62)))</f>
        <v/>
      </c>
    </row>
    <row r="66" customFormat="false" ht="15" hidden="false" customHeight="true" outlineLevel="0" collapsed="false">
      <c r="A66" s="22" t="s">
        <v>368</v>
      </c>
      <c r="B66" s="22"/>
      <c r="C66" s="22"/>
      <c r="D66" s="63" t="n">
        <f aca="false">IF(OR(D52="",D65=""),"",D52+D65)</f>
        <v>79860</v>
      </c>
      <c r="E66" s="63" t="str">
        <f aca="false">IF(OR(E52="",E65=""),"",E52+E65)</f>
        <v/>
      </c>
      <c r="F66" s="63" t="str">
        <f aca="false">IF(OR(F52="",F65=""),"",F52+F65)</f>
        <v/>
      </c>
      <c r="G66" s="63" t="str">
        <f aca="false">IF(OR(G52="",G65=""),"",G52+G65)</f>
        <v/>
      </c>
      <c r="H66" s="63" t="str">
        <f aca="false">IF(OR(H52="",H65=""),"",H52+H65)</f>
        <v/>
      </c>
    </row>
    <row r="67" customFormat="false" ht="15" hidden="false" customHeight="true" outlineLevel="0" collapsed="false">
      <c r="A67" s="22" t="s">
        <v>369</v>
      </c>
      <c r="B67" s="22"/>
      <c r="C67" s="22"/>
      <c r="D67" s="62" t="n">
        <f aca="false">IF(OR(D66="",D13=""),"",D66/D13)</f>
        <v>0.046295652173913</v>
      </c>
      <c r="E67" s="62" t="str">
        <f aca="false">IF(OR(E66="",D13=""),"",E66/D13)</f>
        <v/>
      </c>
      <c r="F67" s="62" t="str">
        <f aca="false">IF(OR(F66="",D13=""),"",F66/D13)</f>
        <v/>
      </c>
      <c r="G67" s="62" t="str">
        <f aca="false">IF(OR(G66="",D13=""),"",G66/D13)</f>
        <v/>
      </c>
      <c r="H67" s="62" t="str">
        <f aca="false">IF(OR(H66="",D13=""),"",H66/D13)</f>
        <v/>
      </c>
    </row>
    <row r="68" customFormat="false" ht="23.85" hidden="false" customHeight="true" outlineLevel="0" collapsed="false">
      <c r="A68" s="22" t="s">
        <v>370</v>
      </c>
      <c r="B68" s="22"/>
      <c r="C68" s="22"/>
      <c r="D68" s="64" t="n">
        <f aca="false">IF(D66="","",(507977.57-D66)/1747037.03)</f>
        <v>0.245053517841004</v>
      </c>
      <c r="E68" s="64" t="str">
        <f aca="false">IF(E66="","",(507977.57-E66)/1747037.03)</f>
        <v/>
      </c>
      <c r="F68" s="64" t="str">
        <f aca="false">IF(F66="","",(507977.57-F66)/1747037.03)</f>
        <v/>
      </c>
      <c r="G68" s="64" t="str">
        <f aca="false">IF(G66="","",(507977.57-G66)/1747037.03)</f>
        <v/>
      </c>
      <c r="H68" s="64" t="str">
        <f aca="false">IF(H66="","",(507977.57-H66)/1747037.03)</f>
        <v/>
      </c>
    </row>
    <row r="69" customFormat="false" ht="15" hidden="false" customHeight="true" outlineLevel="0" collapsed="false">
      <c r="A69" s="22" t="s">
        <v>371</v>
      </c>
      <c r="B69" s="22"/>
      <c r="C69" s="22"/>
      <c r="D69" s="63" t="n">
        <f aca="true">IF(OR(D52="",AND(D62="",$D$35=""),D13=""),"",IF(IF(D62="",IF($D$35="",0,$D$35),D62)=0,0,SUMPRODUCT(((D13*1.02^(ROW(INDIRECT("1:10"))-1))-(IF(D63&lt;&gt;"",D63,IF($D$37&lt;&gt;"",$D$37,(D52*(1+IF(D53="",0,D53))^ROUNDDOWN((ROW(INDIRECT("1:10"))-1)/IF(D54="",5,D54),0))/IF(D62="",IF($D$35="",0,$D$35),D62))))&gt;0)*((D13*1.02^(ROW(INDIRECT("1:10"))-1))-(IF(D63&lt;&gt;"",D63,IF($D$37&lt;&gt;"",$D$37,(D52*(1+IF(D53="",0,D53))^ROUNDDOWN((ROW(INDIRECT("1:10"))-1)/IF(D54="",5,D54),0))/IF(D62="",IF($D$35="",0,$D$35),D62))))))*IF(D62="",IF($D$35="",0,$D$35),D62)))</f>
        <v>0</v>
      </c>
      <c r="E69" s="63" t="str">
        <f aca="true">IF(OR(E52="",AND(E62="",$D$35=""),D13=""),"",IF(IF(E62="",IF($D$35="",0,$D$35),E62)=0,0,SUMPRODUCT(((D13*1.02^(ROW(INDIRECT("1:10"))-1))-(IF(E63&lt;&gt;"",E63,IF($D$37&lt;&gt;"",$D$37,(E52*(1+IF(E53="",0,E53))^ROUNDDOWN((ROW(INDIRECT("1:10"))-1)/IF(E54="",5,E54),0))/IF(E62="",IF($D$35="",0,$D$35),E62))))&gt;0)*((D13*1.02^(ROW(INDIRECT("1:10"))-1))-(IF(E63&lt;&gt;"",E63,IF($D$37&lt;&gt;"",$D$37,(E52*(1+IF(E53="",0,E53))^ROUNDDOWN((ROW(INDIRECT("1:10"))-1)/IF(E54="",5,E54),0))/IF(E62="",IF($D$35="",0,$D$35),E62))))))*IF(E62="",IF($D$35="",0,$D$35),E62)))</f>
        <v/>
      </c>
      <c r="F69" s="63" t="str">
        <f aca="true">IF(OR(F52="",AND(F62="",$D$35=""),D13=""),"",IF(IF(F62="",IF($D$35="",0,$D$35),F62)=0,0,SUMPRODUCT(((D13*1.02^(ROW(INDIRECT("1:10"))-1))-(IF(F63&lt;&gt;"",F63,IF($D$37&lt;&gt;"",$D$37,(F52*(1+IF(F53="",0,F53))^ROUNDDOWN((ROW(INDIRECT("1:10"))-1)/IF(F54="",5,F54),0))/IF(F62="",IF($D$35="",0,$D$35),F62))))&gt;0)*((D13*1.02^(ROW(INDIRECT("1:10"))-1))-(IF(F63&lt;&gt;"",F63,IF($D$37&lt;&gt;"",$D$37,(F52*(1+IF(F53="",0,F53))^ROUNDDOWN((ROW(INDIRECT("1:10"))-1)/IF(F54="",5,F54),0))/IF(F62="",IF($D$35="",0,$D$35),F62))))))*IF(F62="",IF($D$35="",0,$D$35),F62)))</f>
        <v/>
      </c>
      <c r="G69" s="63" t="str">
        <f aca="true">IF(OR(G52="",AND(G62="",$D$35=""),D13=""),"",IF(IF(G62="",IF($D$35="",0,$D$35),G62)=0,0,SUMPRODUCT(((D13*1.02^(ROW(INDIRECT("1:10"))-1))-(IF(G63&lt;&gt;"",G63,IF($D$37&lt;&gt;"",$D$37,(G52*(1+IF(G53="",0,G53))^ROUNDDOWN((ROW(INDIRECT("1:10"))-1)/IF(G54="",5,G54),0))/IF(G62="",IF($D$35="",0,$D$35),G62))))&gt;0)*((D13*1.02^(ROW(INDIRECT("1:10"))-1))-(IF(G63&lt;&gt;"",G63,IF($D$37&lt;&gt;"",$D$37,(G52*(1+IF(G53="",0,G53))^ROUNDDOWN((ROW(INDIRECT("1:10"))-1)/IF(G54="",5,G54),0))/IF(G62="",IF($D$35="",0,$D$35),G62))))))*IF(G62="",IF($D$35="",0,$D$35),G62)))</f>
        <v/>
      </c>
      <c r="H69" s="63" t="str">
        <f aca="true">IF(OR(H52="",AND(H62="",$D$35=""),D13=""),"",IF(IF(H62="",IF($D$35="",0,$D$35),H62)=0,0,SUMPRODUCT(((D13*1.02^(ROW(INDIRECT("1:10"))-1))-(IF(H63&lt;&gt;"",H63,IF($D$37&lt;&gt;"",$D$37,(H52*(1+IF(H53="",0,H53))^ROUNDDOWN((ROW(INDIRECT("1:10"))-1)/IF(H54="",5,H54),0))/IF(H62="",IF($D$35="",0,$D$35),H62))))&gt;0)*((D13*1.02^(ROW(INDIRECT("1:10"))-1))-(IF(H63&lt;&gt;"",H63,IF($D$37&lt;&gt;"",$D$37,(H52*(1+IF(H53="",0,H53))^ROUNDDOWN((ROW(INDIRECT("1:10"))-1)/IF(H54="",5,H54),0))/IF(H62="",IF($D$35="",0,$D$35),H62))))))*IF(H62="",IF($D$35="",0,$D$35),H62)))</f>
        <v/>
      </c>
    </row>
    <row r="70" customFormat="false" ht="15" hidden="false" customHeight="true" outlineLevel="0" collapsed="false">
      <c r="A70" s="22" t="s">
        <v>372</v>
      </c>
      <c r="B70" s="22"/>
      <c r="C70" s="22"/>
      <c r="D70" s="63" t="n">
        <f aca="false">IF(OR(D60="",D69=""),"",D60+D69)</f>
        <v>806586</v>
      </c>
      <c r="E70" s="63" t="str">
        <f aca="false">IF(OR(E60="",E69=""),"",E60+E69)</f>
        <v/>
      </c>
      <c r="F70" s="63" t="str">
        <f aca="false">IF(OR(F60="",F69=""),"",F60+F69)</f>
        <v/>
      </c>
      <c r="G70" s="63" t="str">
        <f aca="false">IF(OR(G60="",G69=""),"",G60+G69)</f>
        <v/>
      </c>
      <c r="H70" s="63" t="str">
        <f aca="false">IF(OR(H60="",H69=""),"",H60+H69)</f>
        <v/>
      </c>
    </row>
    <row r="71" customFormat="false" ht="23.85" hidden="false" customHeight="true" outlineLevel="0" collapsed="false">
      <c r="A71" s="22" t="s">
        <v>373</v>
      </c>
      <c r="B71" s="22"/>
      <c r="C71" s="22"/>
      <c r="D71" s="65" t="n">
        <f aca="true">IF(D52="","",SUMPRODUCT(D52*(1+IF(D53="",0,D53))^ROUNDDOWN((ROW(INDIRECT("1:"&amp;IF(D55="",10,D55)))-1)/IF(D54="",5,D54),0))+IF(OR(D13="",IF(D62="",IF($D$35="",0,$D$35),D62)=0),0,SUMPRODUCT(((D13*1.02^(ROW(INDIRECT("1:"&amp;IF(D55="",10,D55)))-1))-(IF(D63&lt;&gt;"",D63,IF($D$37&lt;&gt;"",$D$37,(D52*(1+IF(D53="",0,D53))^ROUNDDOWN((ROW(INDIRECT("1:"&amp;IF(D55="",10,D55)))-1)/IF(D54="",5,D54),0))/IF(D62="",IF($D$35="",0,$D$35),D62))))&gt;0)*((D13*1.02^(ROW(INDIRECT("1:"&amp;IF(D55="",10,D55)))-1))-(IF(D63&lt;&gt;"",D63,IF($D$37&lt;&gt;"",$D$37,(D52*(1+IF(D53="",0,D53))^ROUNDDOWN((ROW(INDIRECT("1:"&amp;IF(D55="",10,D55)))-1)/IF(D54="",5,D54),0))/IF(D62="",IF($D$35="",0,$D$35),D62))))))*IF(D62="",IF($D$35="",0,$D$35),D62)))</f>
        <v>1645758.0744</v>
      </c>
      <c r="E71" s="65" t="str">
        <f aca="true">IF(E52="","",SUMPRODUCT(E52*(1+IF(E53="",0,E53))^ROUNDDOWN((ROW(INDIRECT("1:"&amp;IF(E55="",10,E55)))-1)/IF(E54="",5,E54),0))+IF(OR(D13="",IF(E62="",IF($D$35="",0,$D$35),E62)=0),0,SUMPRODUCT(((D13*1.02^(ROW(INDIRECT("1:"&amp;IF(E55="",10,E55)))-1))-(IF(E63&lt;&gt;"",E63,IF($D$37&lt;&gt;"",$D$37,(E52*(1+IF(E53="",0,E53))^ROUNDDOWN((ROW(INDIRECT("1:"&amp;IF(E55="",10,E55)))-1)/IF(E54="",5,E54),0))/IF(E62="",IF($D$35="",0,$D$35),E62))))&gt;0)*((D13*1.02^(ROW(INDIRECT("1:"&amp;IF(E55="",10,E55)))-1))-(IF(E63&lt;&gt;"",E63,IF($D$37&lt;&gt;"",$D$37,(E52*(1+IF(E53="",0,E53))^ROUNDDOWN((ROW(INDIRECT("1:"&amp;IF(E55="",10,E55)))-1)/IF(E54="",5,E54),0))/IF(E62="",IF($D$35="",0,$D$35),E62))))))*IF(E62="",IF($D$35="",0,$D$35),E62)))</f>
        <v/>
      </c>
      <c r="F71" s="65" t="str">
        <f aca="true">IF(F52="","",SUMPRODUCT(F52*(1+IF(F53="",0,F53))^ROUNDDOWN((ROW(INDIRECT("1:"&amp;IF(F55="",10,F55)))-1)/IF(F54="",5,F54),0))+IF(OR(D13="",IF(F62="",IF($D$35="",0,$D$35),F62)=0),0,SUMPRODUCT(((D13*1.02^(ROW(INDIRECT("1:"&amp;IF(F55="",10,F55)))-1))-(IF(F63&lt;&gt;"",F63,IF($D$37&lt;&gt;"",$D$37,(F52*(1+IF(F53="",0,F53))^ROUNDDOWN((ROW(INDIRECT("1:"&amp;IF(F55="",10,F55)))-1)/IF(F54="",5,F54),0))/IF(F62="",IF($D$35="",0,$D$35),F62))))&gt;0)*((D13*1.02^(ROW(INDIRECT("1:"&amp;IF(F55="",10,F55)))-1))-(IF(F63&lt;&gt;"",F63,IF($D$37&lt;&gt;"",$D$37,(F52*(1+IF(F53="",0,F53))^ROUNDDOWN((ROW(INDIRECT("1:"&amp;IF(F55="",10,F55)))-1)/IF(F54="",5,F54),0))/IF(F62="",IF($D$35="",0,$D$35),F62))))))*IF(F62="",IF($D$35="",0,$D$35),F62)))</f>
        <v/>
      </c>
      <c r="G71" s="65" t="str">
        <f aca="true">IF(G52="","",SUMPRODUCT(G52*(1+IF(G53="",0,G53))^ROUNDDOWN((ROW(INDIRECT("1:"&amp;IF(G55="",10,G55)))-1)/IF(G54="",5,G54),0))+IF(OR(D13="",IF(G62="",IF($D$35="",0,$D$35),G62)=0),0,SUMPRODUCT(((D13*1.02^(ROW(INDIRECT("1:"&amp;IF(G55="",10,G55)))-1))-(IF(G63&lt;&gt;"",G63,IF($D$37&lt;&gt;"",$D$37,(G52*(1+IF(G53="",0,G53))^ROUNDDOWN((ROW(INDIRECT("1:"&amp;IF(G55="",10,G55)))-1)/IF(G54="",5,G54),0))/IF(G62="",IF($D$35="",0,$D$35),G62))))&gt;0)*((D13*1.02^(ROW(INDIRECT("1:"&amp;IF(G55="",10,G55)))-1))-(IF(G63&lt;&gt;"",G63,IF($D$37&lt;&gt;"",$D$37,(G52*(1+IF(G53="",0,G53))^ROUNDDOWN((ROW(INDIRECT("1:"&amp;IF(G55="",10,G55)))-1)/IF(G54="",5,G54),0))/IF(G62="",IF($D$35="",0,$D$35),G62))))))*IF(G62="",IF($D$35="",0,$D$35),G62)))</f>
        <v/>
      </c>
      <c r="H71" s="65" t="str">
        <f aca="true">IF(H52="","",SUMPRODUCT(H52*(1+IF(H53="",0,H53))^ROUNDDOWN((ROW(INDIRECT("1:"&amp;IF(H55="",10,H55)))-1)/IF(H54="",5,H54),0))+IF(OR(D13="",IF(H62="",IF($D$35="",0,$D$35),H62)=0),0,SUMPRODUCT(((D13*1.02^(ROW(INDIRECT("1:"&amp;IF(H55="",10,H55)))-1))-(IF(H63&lt;&gt;"",H63,IF($D$37&lt;&gt;"",$D$37,(H52*(1+IF(H53="",0,H53))^ROUNDDOWN((ROW(INDIRECT("1:"&amp;IF(H55="",10,H55)))-1)/IF(H54="",5,H54),0))/IF(H62="",IF($D$35="",0,$D$35),H62))))&gt;0)*((D13*1.02^(ROW(INDIRECT("1:"&amp;IF(H55="",10,H55)))-1))-(IF(H63&lt;&gt;"",H63,IF($D$37&lt;&gt;"",$D$37,(H52*(1+IF(H53="",0,H53))^ROUNDDOWN((ROW(INDIRECT("1:"&amp;IF(H55="",10,H55)))-1)/IF(H54="",5,H54),0))/IF(H62="",IF($D$35="",0,$D$35),H62))))))*IF(H62="",IF($D$35="",0,$D$35),H62)))</f>
        <v/>
      </c>
    </row>
    <row r="72" customFormat="false" ht="15" hidden="false" customHeight="true" outlineLevel="0" collapsed="false">
      <c r="A72" s="22" t="s">
        <v>374</v>
      </c>
      <c r="B72" s="22"/>
      <c r="C72" s="22"/>
      <c r="D72" s="62" t="n">
        <f aca="false">IF(D52="","",IF(D53="",0,(1+D53)^(5/IF(D54="",5,D54))-1))</f>
        <v>0.02</v>
      </c>
      <c r="E72" s="62" t="str">
        <f aca="false">IF(E52="","",IF(E53="",0,(1+E53)^(5/IF(E54="",5,E54))-1))</f>
        <v/>
      </c>
      <c r="F72" s="62" t="str">
        <f aca="false">IF(F52="","",IF(F53="",0,(1+F53)^(5/IF(F54="",5,F54))-1))</f>
        <v/>
      </c>
      <c r="G72" s="62" t="str">
        <f aca="false">IF(G52="","",IF(G53="",0,(1+G53)^(5/IF(G54="",5,G54))-1))</f>
        <v/>
      </c>
      <c r="H72" s="62" t="str">
        <f aca="false">IF(H52="","",IF(H53="",0,(1+H53)^(5/IF(H54="",5,H54))-1))</f>
        <v/>
      </c>
    </row>
    <row r="73" customFormat="false" ht="43.25" hidden="false" customHeight="true" outlineLevel="0" collapsed="false">
      <c r="A73" s="22" t="s">
        <v>375</v>
      </c>
      <c r="B73" s="22"/>
      <c r="C73" s="22"/>
      <c r="D73" s="66" t="str">
        <f aca="false">IF(D72="","",IF(D72&lt;=0,"REDUCTION / FLAT — ladder steps 1-2 (best)",IF(D72&lt;=0.08,"OK — within 8%/5-yr in-house authority (ladder step 3)","ABOVE 8%/5-yr — CEO SIGN-OFF REQUIRED (Rob 8/5/26)")))</f>
        <v>OK — within 8%/5-yr in-house authority (ladder step 3)</v>
      </c>
      <c r="E73" s="66" t="str">
        <f aca="false">IF(E72="","",IF(E72&lt;=0,"REDUCTION / FLAT — ladder steps 1-2 (best)",IF(E72&lt;=0.08,"OK — within 8%/5-yr in-house authority (ladder step 3)","ABOVE 8%/5-yr — CEO SIGN-OFF REQUIRED (Rob 8/5/26)")))</f>
        <v/>
      </c>
      <c r="F73" s="66" t="str">
        <f aca="false">IF(F72="","",IF(F72&lt;=0,"REDUCTION / FLAT — ladder steps 1-2 (best)",IF(F72&lt;=0.08,"OK — within 8%/5-yr in-house authority (ladder step 3)","ABOVE 8%/5-yr — CEO SIGN-OFF REQUIRED (Rob 8/5/26)")))</f>
        <v/>
      </c>
      <c r="G73" s="66" t="str">
        <f aca="false">IF(G72="","",IF(G72&lt;=0,"REDUCTION / FLAT — ladder steps 1-2 (best)",IF(G72&lt;=0.08,"OK — within 8%/5-yr in-house authority (ladder step 3)","ABOVE 8%/5-yr — CEO SIGN-OFF REQUIRED (Rob 8/5/26)")))</f>
        <v/>
      </c>
      <c r="H73" s="66" t="str">
        <f aca="false">IF(H72="","",IF(H72&lt;=0,"REDUCTION / FLAT — ladder steps 1-2 (best)",IF(H72&lt;=0.08,"OK — within 8%/5-yr in-house authority (ladder step 3)","ABOVE 8%/5-yr — CEO SIGN-OFF REQUIRED (Rob 8/5/26)")))</f>
        <v/>
      </c>
    </row>
    <row r="74" customFormat="false" ht="23.85" hidden="false" customHeight="true" outlineLevel="0" collapsed="false">
      <c r="A74" s="22" t="s">
        <v>376</v>
      </c>
      <c r="B74" s="22"/>
      <c r="C74" s="22"/>
      <c r="D74" s="62" t="n">
        <f aca="false">IF(OR(D52="",D13=""),"",((D52*(1+IF(D53="",0,D53))^ROUNDDOWN(9/IF(D54="",5,D54),0))+IF(IF(D62="",IF($D$35="",0,$D$35),D62)=0,0,MAX(0,D13*1.02^9-IF(D63&lt;&gt;"",D63,IF($D$37&lt;&gt;"",$D$37,(D52*(1+IF(D53="",0,D53))^ROUNDDOWN(9/IF(D54="",5,D54),0))/IF(D62="",IF($D$35="",0,$D$35),D62))))*IF(D62="",IF($D$35="",0,$D$35),D62)))/(D13*1.02^9))</f>
        <v>0.0395128933584013</v>
      </c>
      <c r="E74" s="62" t="str">
        <f aca="false">IF(OR(E52="",D13=""),"",((E52*(1+IF(E53="",0,E53))^ROUNDDOWN(9/IF(E54="",5,E54),0))+IF(IF(E62="",IF($D$35="",0,$D$35),E62)=0,0,MAX(0,D13*1.02^9-IF(E63&lt;&gt;"",E63,IF($D$37&lt;&gt;"",$D$37,(E52*(1+IF(E53="",0,E53))^ROUNDDOWN(9/IF(E54="",5,E54),0))/IF(E62="",IF($D$35="",0,$D$35),E62))))*IF(E62="",IF($D$35="",0,$D$35),E62)))/(D13*1.02^9))</f>
        <v/>
      </c>
      <c r="F74" s="62" t="str">
        <f aca="false">IF(OR(F52="",D13=""),"",((F52*(1+IF(F53="",0,F53))^ROUNDDOWN(9/IF(F54="",5,F54),0))+IF(IF(F62="",IF($D$35="",0,$D$35),F62)=0,0,MAX(0,D13*1.02^9-IF(F63&lt;&gt;"",F63,IF($D$37&lt;&gt;"",$D$37,(F52*(1+IF(F53="",0,F53))^ROUNDDOWN(9/IF(F54="",5,F54),0))/IF(F62="",IF($D$35="",0,$D$35),F62))))*IF(F62="",IF($D$35="",0,$D$35),F62)))/(D13*1.02^9))</f>
        <v/>
      </c>
      <c r="G74" s="62" t="str">
        <f aca="false">IF(OR(G52="",D13=""),"",((G52*(1+IF(G53="",0,G53))^ROUNDDOWN(9/IF(G54="",5,G54),0))+IF(IF(G62="",IF($D$35="",0,$D$35),G62)=0,0,MAX(0,D13*1.02^9-IF(G63&lt;&gt;"",G63,IF($D$37&lt;&gt;"",$D$37,(G52*(1+IF(G53="",0,G53))^ROUNDDOWN(9/IF(G54="",5,G54),0))/IF(G62="",IF($D$35="",0,$D$35),G62))))*IF(G62="",IF($D$35="",0,$D$35),G62)))/(D13*1.02^9))</f>
        <v/>
      </c>
      <c r="H74" s="62" t="str">
        <f aca="false">IF(OR(H52="",D13=""),"",((H52*(1+IF(H53="",0,H53))^ROUNDDOWN(9/IF(H54="",5,H54),0))+IF(IF(H62="",IF($D$35="",0,$D$35),H62)=0,0,MAX(0,D13*1.02^9-IF(H63&lt;&gt;"",H63,IF($D$37&lt;&gt;"",$D$37,(H52*(1+IF(H53="",0,H53))^ROUNDDOWN(9/IF(H54="",5,H54),0))/IF(H62="",IF($D$35="",0,$D$35),H62))))*IF(H62="",IF($D$35="",0,$D$35),H62)))/(D13*1.02^9))</f>
        <v/>
      </c>
    </row>
    <row r="75" customFormat="false" ht="23.85" hidden="false" customHeight="true" outlineLevel="0" collapsed="false">
      <c r="A75" s="22" t="s">
        <v>377</v>
      </c>
      <c r="B75" s="22"/>
      <c r="C75" s="22"/>
      <c r="D75" s="66" t="str">
        <f aca="false">IF(OR(D74="",D67=""),"",IF(MAX(D67,D74)&gt;=0.08,"HARD STOP — occupancy at/above 8% of sales: STOP, CEO sign-off before responding",IF(MAX(D67,D74)&gt;0.07,"Above Kim 7% alert — approaching 8% hard stop","OK — under 7% alert")))</f>
        <v>OK — under 7% alert</v>
      </c>
      <c r="E75" s="66" t="str">
        <f aca="false">IF(OR(E74="",E67=""),"",IF(MAX(E67,E74)&gt;=0.08,"HARD STOP — occupancy at/above 8% of sales: STOP, CEO sign-off before responding",IF(MAX(E67,E74)&gt;0.07,"Above Kim 7% alert — approaching 8% hard stop","OK — under 7% alert")))</f>
        <v/>
      </c>
      <c r="F75" s="66" t="str">
        <f aca="false">IF(OR(F74="",F67=""),"",IF(MAX(F67,F74)&gt;=0.08,"HARD STOP — occupancy at/above 8% of sales: STOP, CEO sign-off before responding",IF(MAX(F67,F74)&gt;0.07,"Above Kim 7% alert — approaching 8% hard stop","OK — under 7% alert")))</f>
        <v/>
      </c>
      <c r="G75" s="66" t="str">
        <f aca="false">IF(OR(G74="",G67=""),"",IF(MAX(G67,G74)&gt;=0.08,"HARD STOP — occupancy at/above 8% of sales: STOP, CEO sign-off before responding",IF(MAX(G67,G74)&gt;0.07,"Above Kim 7% alert — approaching 8% hard stop","OK — under 7% alert")))</f>
        <v/>
      </c>
      <c r="H75" s="66" t="str">
        <f aca="false">IF(OR(H74="",H67=""),"",IF(MAX(H67,H74)&gt;=0.08,"HARD STOP — occupancy at/above 8% of sales: STOP, CEO sign-off before responding",IF(MAX(H67,H74)&gt;0.07,"Above Kim 7% alert — approaching 8% hard stop","OK — under 7% alert")))</f>
        <v/>
      </c>
    </row>
    <row r="77" customFormat="false" ht="22.35" hidden="false" customHeight="true" outlineLevel="0" collapsed="false">
      <c r="A77" s="68" t="s">
        <v>379</v>
      </c>
      <c r="B77" s="68"/>
      <c r="C77" s="68"/>
      <c r="D77" s="68"/>
      <c r="E77" s="68"/>
      <c r="F77" s="68"/>
      <c r="G77" s="68"/>
      <c r="H77" s="68"/>
      <c r="I77" s="68"/>
      <c r="J77" s="68"/>
    </row>
    <row r="79" customFormat="false" ht="15" hidden="false" customHeight="false" outlineLevel="0" collapsed="false">
      <c r="A79" s="69" t="s">
        <v>380</v>
      </c>
      <c r="B79" s="69"/>
      <c r="C79" s="69"/>
      <c r="D79" s="69"/>
      <c r="E79" s="69"/>
      <c r="F79" s="69"/>
      <c r="G79" s="69"/>
      <c r="H79" s="69"/>
      <c r="I79" s="69"/>
      <c r="J79" s="69"/>
    </row>
    <row r="82" customFormat="false" ht="15" hidden="false" customHeight="false" outlineLevel="0" collapsed="false">
      <c r="A82" s="25" t="s">
        <v>381</v>
      </c>
    </row>
    <row r="83" customFormat="false" ht="15" hidden="false" customHeight="false" outlineLevel="0" collapsed="false">
      <c r="A83" s="69" t="s">
        <v>382</v>
      </c>
      <c r="B83" s="69"/>
      <c r="C83" s="69"/>
      <c r="D83" s="69"/>
      <c r="E83" s="69"/>
      <c r="F83" s="69"/>
      <c r="G83" s="69"/>
      <c r="H83" s="69"/>
      <c r="I83" s="69"/>
      <c r="J83" s="69"/>
      <c r="K83" s="69"/>
      <c r="L83" s="69"/>
      <c r="M83" s="69"/>
      <c r="N83" s="69"/>
      <c r="O83" s="69"/>
      <c r="P83" s="69"/>
      <c r="Q83" s="69"/>
      <c r="R83" s="69"/>
      <c r="S83" s="69"/>
      <c r="T83" s="69"/>
    </row>
    <row r="84" customFormat="false" ht="15" hidden="false" customHeight="true" outlineLevel="0" collapsed="false">
      <c r="A84" s="70" t="s">
        <v>383</v>
      </c>
      <c r="B84" s="70" t="s">
        <v>384</v>
      </c>
      <c r="C84" s="71" t="s">
        <v>385</v>
      </c>
      <c r="D84" s="71"/>
      <c r="E84" s="71"/>
      <c r="F84" s="71" t="s">
        <v>386</v>
      </c>
      <c r="G84" s="71"/>
      <c r="H84" s="71"/>
      <c r="I84" s="71" t="s">
        <v>387</v>
      </c>
      <c r="J84" s="71"/>
      <c r="K84" s="71"/>
      <c r="L84" s="71" t="s">
        <v>388</v>
      </c>
      <c r="M84" s="71"/>
      <c r="N84" s="71"/>
      <c r="O84" s="71" t="s">
        <v>389</v>
      </c>
      <c r="P84" s="71"/>
      <c r="Q84" s="71"/>
      <c r="R84" s="72" t="s">
        <v>390</v>
      </c>
      <c r="S84" s="72"/>
      <c r="T84" s="72"/>
    </row>
    <row r="85" customFormat="false" ht="15" hidden="false" customHeight="false" outlineLevel="0" collapsed="false">
      <c r="A85" s="73"/>
      <c r="B85" s="73"/>
      <c r="C85" s="73" t="s">
        <v>391</v>
      </c>
      <c r="D85" s="73" t="s">
        <v>392</v>
      </c>
      <c r="E85" s="73" t="s">
        <v>393</v>
      </c>
      <c r="F85" s="73" t="s">
        <v>391</v>
      </c>
      <c r="G85" s="73" t="s">
        <v>392</v>
      </c>
      <c r="H85" s="73" t="s">
        <v>393</v>
      </c>
      <c r="I85" s="73" t="s">
        <v>391</v>
      </c>
      <c r="J85" s="73" t="s">
        <v>392</v>
      </c>
      <c r="K85" s="73" t="s">
        <v>393</v>
      </c>
      <c r="L85" s="73" t="s">
        <v>391</v>
      </c>
      <c r="M85" s="73" t="s">
        <v>392</v>
      </c>
      <c r="N85" s="73" t="s">
        <v>393</v>
      </c>
      <c r="O85" s="73" t="s">
        <v>391</v>
      </c>
      <c r="P85" s="73" t="s">
        <v>392</v>
      </c>
      <c r="Q85" s="73" t="s">
        <v>393</v>
      </c>
      <c r="R85" s="73" t="s">
        <v>391</v>
      </c>
      <c r="S85" s="73" t="s">
        <v>392</v>
      </c>
      <c r="T85" s="73" t="s">
        <v>393</v>
      </c>
    </row>
    <row r="86" customFormat="false" ht="15" hidden="false" customHeight="false" outlineLevel="0" collapsed="false">
      <c r="A86" s="74" t="n">
        <v>1</v>
      </c>
      <c r="B86" s="75" t="n">
        <v>1725000</v>
      </c>
      <c r="C86" s="76" t="n">
        <v>79860</v>
      </c>
      <c r="D86" s="76" t="n">
        <v>0</v>
      </c>
      <c r="E86" s="76" t="n">
        <v>79860</v>
      </c>
      <c r="F86" s="75" t="n">
        <f aca="false">IF(D52="","",IF(1&gt;IF(D55="",10,D55),"",D52*(1+IF(D53="",0,D53))^ROUNDDOWN((1-1)/IF(D54="",5,D54),0)))</f>
        <v>79860</v>
      </c>
      <c r="G86" s="75" t="n">
        <f aca="false">IF(F86="","",IF((IF(D62="",IF($D$35="",0,$D$35),D62))=0,0,MAX(0,1725000-(IF(D63&lt;&gt;"",D63,IF($D$37&lt;&gt;"",$D$37,IF((IF(D62="",IF($D$35="",0,$D$35),D62))=0,0,D52/(IF(D62="",IF($D$35="",0,$D$35),D62)))))))*(IF(D62="",IF($D$35="",0,$D$35),D62))))</f>
        <v>0</v>
      </c>
      <c r="H86" s="75" t="n">
        <f aca="false">IF(F86="","",F86+G86)</f>
        <v>79860</v>
      </c>
      <c r="I86" s="75" t="str">
        <f aca="false">IF(E52="","",IF(1&gt;IF(E55="",10,E55),"",E52*(1+IF(E53="",0,E53))^ROUNDDOWN((1-1)/IF(E54="",5,E54),0)))</f>
        <v/>
      </c>
      <c r="J86" s="75" t="str">
        <f aca="false">IF(I86="","",IF((IF(E62="",IF($D$35="",0,$D$35),E62))=0,0,MAX(0,1725000-(IF(E63&lt;&gt;"",E63,IF($D$37&lt;&gt;"",$D$37,IF((IF(E62="",IF($D$35="",0,$D$35),E62))=0,0,E52/(IF(E62="",IF($D$35="",0,$D$35),E62)))))))*(IF(E62="",IF($D$35="",0,$D$35),E62))))</f>
        <v/>
      </c>
      <c r="K86" s="75" t="str">
        <f aca="false">IF(I86="","",I86+J86)</f>
        <v/>
      </c>
      <c r="L86" s="75" t="str">
        <f aca="false">IF(F52="","",IF(1&gt;IF(F55="",10,F55),"",F52*(1+IF(F53="",0,F53))^ROUNDDOWN((1-1)/IF(F54="",5,F54),0)))</f>
        <v/>
      </c>
      <c r="M86" s="75" t="str">
        <f aca="false">IF(L86="","",IF((IF(F62="",IF($D$35="",0,$D$35),F62))=0,0,MAX(0,1725000-(IF(F63&lt;&gt;"",F63,IF($D$37&lt;&gt;"",$D$37,IF((IF(F62="",IF($D$35="",0,$D$35),F62))=0,0,F52/(IF(F62="",IF($D$35="",0,$D$35),F62)))))))*(IF(F62="",IF($D$35="",0,$D$35),F62))))</f>
        <v/>
      </c>
      <c r="N86" s="75" t="str">
        <f aca="false">IF(L86="","",L86+M86)</f>
        <v/>
      </c>
      <c r="O86" s="75" t="str">
        <f aca="false">IF(G52="","",IF(1&gt;IF(G55="",10,G55),"",G52*(1+IF(G53="",0,G53))^ROUNDDOWN((1-1)/IF(G54="",5,G54),0)))</f>
        <v/>
      </c>
      <c r="P86" s="75" t="str">
        <f aca="false">IF(O86="","",IF((IF(G62="",IF($D$35="",0,$D$35),G62))=0,0,MAX(0,1725000-(IF(G63&lt;&gt;"",G63,IF($D$37&lt;&gt;"",$D$37,IF((IF(G62="",IF($D$35="",0,$D$35),G62))=0,0,G52/(IF(G62="",IF($D$35="",0,$D$35),G62)))))))*(IF(G62="",IF($D$35="",0,$D$35),G62))))</f>
        <v/>
      </c>
      <c r="Q86" s="75" t="str">
        <f aca="false">IF(O86="","",O86+P86)</f>
        <v/>
      </c>
      <c r="R86" s="75" t="str">
        <f aca="false">IF(H52="","",IF(1&gt;IF(H55="",10,H55),"",H52*(1+IF(H53="",0,H53))^ROUNDDOWN((1-1)/IF(H54="",5,H54),0)))</f>
        <v/>
      </c>
      <c r="S86" s="75" t="str">
        <f aca="false">IF(R86="","",IF((IF(H62="",IF($D$35="",0,$D$35),H62))=0,0,MAX(0,1725000-(IF(H63&lt;&gt;"",H63,IF($D$37&lt;&gt;"",$D$37,IF((IF(H62="",IF($D$35="",0,$D$35),H62))=0,0,H52/(IF(H62="",IF($D$35="",0,$D$35),H62)))))))*(IF(H62="",IF($D$35="",0,$D$35),H62))))</f>
        <v/>
      </c>
      <c r="T86" s="75" t="str">
        <f aca="false">IF(R86="","",R86+S86)</f>
        <v/>
      </c>
    </row>
    <row r="87" customFormat="false" ht="15" hidden="false" customHeight="false" outlineLevel="0" collapsed="false">
      <c r="A87" s="74" t="n">
        <v>2</v>
      </c>
      <c r="B87" s="75" t="n">
        <v>1759500</v>
      </c>
      <c r="C87" s="76" t="n">
        <v>79860</v>
      </c>
      <c r="D87" s="76" t="n">
        <v>0</v>
      </c>
      <c r="E87" s="76" t="n">
        <v>79860</v>
      </c>
      <c r="F87" s="75" t="n">
        <f aca="false">IF(D52="","",IF(2&gt;IF(D55="",10,D55),"",D52*(1+IF(D53="",0,D53))^ROUNDDOWN((2-1)/IF(D54="",5,D54),0)))</f>
        <v>79860</v>
      </c>
      <c r="G87" s="75" t="n">
        <f aca="false">IF(F87="","",IF((IF(D62="",IF($D$35="",0,$D$35),D62))=0,0,MAX(0,1759500-(IF(D63&lt;&gt;"",D63,IF($D$37&lt;&gt;"",$D$37,IF((IF(D62="",IF($D$35="",0,$D$35),D62))=0,0,D52/(IF(D62="",IF($D$35="",0,$D$35),D62)))))))*(IF(D62="",IF($D$35="",0,$D$35),D62))))</f>
        <v>0</v>
      </c>
      <c r="H87" s="75" t="n">
        <f aca="false">IF(F87="","",F87+G87)</f>
        <v>79860</v>
      </c>
      <c r="I87" s="75" t="str">
        <f aca="false">IF(E52="","",IF(2&gt;IF(E55="",10,E55),"",E52*(1+IF(E53="",0,E53))^ROUNDDOWN((2-1)/IF(E54="",5,E54),0)))</f>
        <v/>
      </c>
      <c r="J87" s="75" t="str">
        <f aca="false">IF(I87="","",IF((IF(E62="",IF($D$35="",0,$D$35),E62))=0,0,MAX(0,1759500-(IF(E63&lt;&gt;"",E63,IF($D$37&lt;&gt;"",$D$37,IF((IF(E62="",IF($D$35="",0,$D$35),E62))=0,0,E52/(IF(E62="",IF($D$35="",0,$D$35),E62)))))))*(IF(E62="",IF($D$35="",0,$D$35),E62))))</f>
        <v/>
      </c>
      <c r="K87" s="75" t="str">
        <f aca="false">IF(I87="","",I87+J87)</f>
        <v/>
      </c>
      <c r="L87" s="75" t="str">
        <f aca="false">IF(F52="","",IF(2&gt;IF(F55="",10,F55),"",F52*(1+IF(F53="",0,F53))^ROUNDDOWN((2-1)/IF(F54="",5,F54),0)))</f>
        <v/>
      </c>
      <c r="M87" s="75" t="str">
        <f aca="false">IF(L87="","",IF((IF(F62="",IF($D$35="",0,$D$35),F62))=0,0,MAX(0,1759500-(IF(F63&lt;&gt;"",F63,IF($D$37&lt;&gt;"",$D$37,IF((IF(F62="",IF($D$35="",0,$D$35),F62))=0,0,F52/(IF(F62="",IF($D$35="",0,$D$35),F62)))))))*(IF(F62="",IF($D$35="",0,$D$35),F62))))</f>
        <v/>
      </c>
      <c r="N87" s="75" t="str">
        <f aca="false">IF(L87="","",L87+M87)</f>
        <v/>
      </c>
      <c r="O87" s="75" t="str">
        <f aca="false">IF(G52="","",IF(2&gt;IF(G55="",10,G55),"",G52*(1+IF(G53="",0,G53))^ROUNDDOWN((2-1)/IF(G54="",5,G54),0)))</f>
        <v/>
      </c>
      <c r="P87" s="75" t="str">
        <f aca="false">IF(O87="","",IF((IF(G62="",IF($D$35="",0,$D$35),G62))=0,0,MAX(0,1759500-(IF(G63&lt;&gt;"",G63,IF($D$37&lt;&gt;"",$D$37,IF((IF(G62="",IF($D$35="",0,$D$35),G62))=0,0,G52/(IF(G62="",IF($D$35="",0,$D$35),G62)))))))*(IF(G62="",IF($D$35="",0,$D$35),G62))))</f>
        <v/>
      </c>
      <c r="Q87" s="75" t="str">
        <f aca="false">IF(O87="","",O87+P87)</f>
        <v/>
      </c>
      <c r="R87" s="75" t="str">
        <f aca="false">IF(H52="","",IF(2&gt;IF(H55="",10,H55),"",H52*(1+IF(H53="",0,H53))^ROUNDDOWN((2-1)/IF(H54="",5,H54),0)))</f>
        <v/>
      </c>
      <c r="S87" s="75" t="str">
        <f aca="false">IF(R87="","",IF((IF(H62="",IF($D$35="",0,$D$35),H62))=0,0,MAX(0,1759500-(IF(H63&lt;&gt;"",H63,IF($D$37&lt;&gt;"",$D$37,IF((IF(H62="",IF($D$35="",0,$D$35),H62))=0,0,H52/(IF(H62="",IF($D$35="",0,$D$35),H62)))))))*(IF(H62="",IF($D$35="",0,$D$35),H62))))</f>
        <v/>
      </c>
      <c r="T87" s="75" t="str">
        <f aca="false">IF(R87="","",R87+S87)</f>
        <v/>
      </c>
    </row>
    <row r="88" customFormat="false" ht="15" hidden="false" customHeight="false" outlineLevel="0" collapsed="false">
      <c r="A88" s="74" t="n">
        <v>3</v>
      </c>
      <c r="B88" s="75" t="n">
        <v>1794690</v>
      </c>
      <c r="C88" s="76" t="n">
        <v>79860</v>
      </c>
      <c r="D88" s="76" t="n">
        <v>0</v>
      </c>
      <c r="E88" s="76" t="n">
        <v>79860</v>
      </c>
      <c r="F88" s="75" t="n">
        <f aca="false">IF(D52="","",IF(3&gt;IF(D55="",10,D55),"",D52*(1+IF(D53="",0,D53))^ROUNDDOWN((3-1)/IF(D54="",5,D54),0)))</f>
        <v>79860</v>
      </c>
      <c r="G88" s="75" t="n">
        <f aca="false">IF(F88="","",IF((IF(D62="",IF($D$35="",0,$D$35),D62))=0,0,MAX(0,1794690-(IF(D63&lt;&gt;"",D63,IF($D$37&lt;&gt;"",$D$37,IF((IF(D62="",IF($D$35="",0,$D$35),D62))=0,0,D52/(IF(D62="",IF($D$35="",0,$D$35),D62)))))))*(IF(D62="",IF($D$35="",0,$D$35),D62))))</f>
        <v>0</v>
      </c>
      <c r="H88" s="75" t="n">
        <f aca="false">IF(F88="","",F88+G88)</f>
        <v>79860</v>
      </c>
      <c r="I88" s="75" t="str">
        <f aca="false">IF(E52="","",IF(3&gt;IF(E55="",10,E55),"",E52*(1+IF(E53="",0,E53))^ROUNDDOWN((3-1)/IF(E54="",5,E54),0)))</f>
        <v/>
      </c>
      <c r="J88" s="75" t="str">
        <f aca="false">IF(I88="","",IF((IF(E62="",IF($D$35="",0,$D$35),E62))=0,0,MAX(0,1794690-(IF(E63&lt;&gt;"",E63,IF($D$37&lt;&gt;"",$D$37,IF((IF(E62="",IF($D$35="",0,$D$35),E62))=0,0,E52/(IF(E62="",IF($D$35="",0,$D$35),E62)))))))*(IF(E62="",IF($D$35="",0,$D$35),E62))))</f>
        <v/>
      </c>
      <c r="K88" s="75" t="str">
        <f aca="false">IF(I88="","",I88+J88)</f>
        <v/>
      </c>
      <c r="L88" s="75" t="str">
        <f aca="false">IF(F52="","",IF(3&gt;IF(F55="",10,F55),"",F52*(1+IF(F53="",0,F53))^ROUNDDOWN((3-1)/IF(F54="",5,F54),0)))</f>
        <v/>
      </c>
      <c r="M88" s="75" t="str">
        <f aca="false">IF(L88="","",IF((IF(F62="",IF($D$35="",0,$D$35),F62))=0,0,MAX(0,1794690-(IF(F63&lt;&gt;"",F63,IF($D$37&lt;&gt;"",$D$37,IF((IF(F62="",IF($D$35="",0,$D$35),F62))=0,0,F52/(IF(F62="",IF($D$35="",0,$D$35),F62)))))))*(IF(F62="",IF($D$35="",0,$D$35),F62))))</f>
        <v/>
      </c>
      <c r="N88" s="75" t="str">
        <f aca="false">IF(L88="","",L88+M88)</f>
        <v/>
      </c>
      <c r="O88" s="75" t="str">
        <f aca="false">IF(G52="","",IF(3&gt;IF(G55="",10,G55),"",G52*(1+IF(G53="",0,G53))^ROUNDDOWN((3-1)/IF(G54="",5,G54),0)))</f>
        <v/>
      </c>
      <c r="P88" s="75" t="str">
        <f aca="false">IF(O88="","",IF((IF(G62="",IF($D$35="",0,$D$35),G62))=0,0,MAX(0,1794690-(IF(G63&lt;&gt;"",G63,IF($D$37&lt;&gt;"",$D$37,IF((IF(G62="",IF($D$35="",0,$D$35),G62))=0,0,G52/(IF(G62="",IF($D$35="",0,$D$35),G62)))))))*(IF(G62="",IF($D$35="",0,$D$35),G62))))</f>
        <v/>
      </c>
      <c r="Q88" s="75" t="str">
        <f aca="false">IF(O88="","",O88+P88)</f>
        <v/>
      </c>
      <c r="R88" s="75" t="str">
        <f aca="false">IF(H52="","",IF(3&gt;IF(H55="",10,H55),"",H52*(1+IF(H53="",0,H53))^ROUNDDOWN((3-1)/IF(H54="",5,H54),0)))</f>
        <v/>
      </c>
      <c r="S88" s="75" t="str">
        <f aca="false">IF(R88="","",IF((IF(H62="",IF($D$35="",0,$D$35),H62))=0,0,MAX(0,1794690-(IF(H63&lt;&gt;"",H63,IF($D$37&lt;&gt;"",$D$37,IF((IF(H62="",IF($D$35="",0,$D$35),H62))=0,0,H52/(IF(H62="",IF($D$35="",0,$D$35),H62)))))))*(IF(H62="",IF($D$35="",0,$D$35),H62))))</f>
        <v/>
      </c>
      <c r="T88" s="75" t="str">
        <f aca="false">IF(R88="","",R88+S88)</f>
        <v/>
      </c>
    </row>
    <row r="89" customFormat="false" ht="15" hidden="false" customHeight="false" outlineLevel="0" collapsed="false">
      <c r="A89" s="74" t="n">
        <v>4</v>
      </c>
      <c r="B89" s="75" t="n">
        <v>1830584</v>
      </c>
      <c r="C89" s="76" t="n">
        <v>79860</v>
      </c>
      <c r="D89" s="76" t="n">
        <v>0</v>
      </c>
      <c r="E89" s="76" t="n">
        <v>79860</v>
      </c>
      <c r="F89" s="75" t="n">
        <f aca="false">IF(D52="","",IF(4&gt;IF(D55="",10,D55),"",D52*(1+IF(D53="",0,D53))^ROUNDDOWN((4-1)/IF(D54="",5,D54),0)))</f>
        <v>79860</v>
      </c>
      <c r="G89" s="75" t="n">
        <f aca="false">IF(F89="","",IF((IF(D62="",IF($D$35="",0,$D$35),D62))=0,0,MAX(0,1830583.8-(IF(D63&lt;&gt;"",D63,IF($D$37&lt;&gt;"",$D$37,IF((IF(D62="",IF($D$35="",0,$D$35),D62))=0,0,D52/(IF(D62="",IF($D$35="",0,$D$35),D62)))))))*(IF(D62="",IF($D$35="",0,$D$35),D62))))</f>
        <v>0</v>
      </c>
      <c r="H89" s="75" t="n">
        <f aca="false">IF(F89="","",F89+G89)</f>
        <v>79860</v>
      </c>
      <c r="I89" s="75" t="str">
        <f aca="false">IF(E52="","",IF(4&gt;IF(E55="",10,E55),"",E52*(1+IF(E53="",0,E53))^ROUNDDOWN((4-1)/IF(E54="",5,E54),0)))</f>
        <v/>
      </c>
      <c r="J89" s="75" t="str">
        <f aca="false">IF(I89="","",IF((IF(E62="",IF($D$35="",0,$D$35),E62))=0,0,MAX(0,1830583.8-(IF(E63&lt;&gt;"",E63,IF($D$37&lt;&gt;"",$D$37,IF((IF(E62="",IF($D$35="",0,$D$35),E62))=0,0,E52/(IF(E62="",IF($D$35="",0,$D$35),E62)))))))*(IF(E62="",IF($D$35="",0,$D$35),E62))))</f>
        <v/>
      </c>
      <c r="K89" s="75" t="str">
        <f aca="false">IF(I89="","",I89+J89)</f>
        <v/>
      </c>
      <c r="L89" s="75" t="str">
        <f aca="false">IF(F52="","",IF(4&gt;IF(F55="",10,F55),"",F52*(1+IF(F53="",0,F53))^ROUNDDOWN((4-1)/IF(F54="",5,F54),0)))</f>
        <v/>
      </c>
      <c r="M89" s="75" t="str">
        <f aca="false">IF(L89="","",IF((IF(F62="",IF($D$35="",0,$D$35),F62))=0,0,MAX(0,1830583.8-(IF(F63&lt;&gt;"",F63,IF($D$37&lt;&gt;"",$D$37,IF((IF(F62="",IF($D$35="",0,$D$35),F62))=0,0,F52/(IF(F62="",IF($D$35="",0,$D$35),F62)))))))*(IF(F62="",IF($D$35="",0,$D$35),F62))))</f>
        <v/>
      </c>
      <c r="N89" s="75" t="str">
        <f aca="false">IF(L89="","",L89+M89)</f>
        <v/>
      </c>
      <c r="O89" s="75" t="str">
        <f aca="false">IF(G52="","",IF(4&gt;IF(G55="",10,G55),"",G52*(1+IF(G53="",0,G53))^ROUNDDOWN((4-1)/IF(G54="",5,G54),0)))</f>
        <v/>
      </c>
      <c r="P89" s="75" t="str">
        <f aca="false">IF(O89="","",IF((IF(G62="",IF($D$35="",0,$D$35),G62))=0,0,MAX(0,1830583.8-(IF(G63&lt;&gt;"",G63,IF($D$37&lt;&gt;"",$D$37,IF((IF(G62="",IF($D$35="",0,$D$35),G62))=0,0,G52/(IF(G62="",IF($D$35="",0,$D$35),G62)))))))*(IF(G62="",IF($D$35="",0,$D$35),G62))))</f>
        <v/>
      </c>
      <c r="Q89" s="75" t="str">
        <f aca="false">IF(O89="","",O89+P89)</f>
        <v/>
      </c>
      <c r="R89" s="75" t="str">
        <f aca="false">IF(H52="","",IF(4&gt;IF(H55="",10,H55),"",H52*(1+IF(H53="",0,H53))^ROUNDDOWN((4-1)/IF(H54="",5,H54),0)))</f>
        <v/>
      </c>
      <c r="S89" s="75" t="str">
        <f aca="false">IF(R89="","",IF((IF(H62="",IF($D$35="",0,$D$35),H62))=0,0,MAX(0,1830583.8-(IF(H63&lt;&gt;"",H63,IF($D$37&lt;&gt;"",$D$37,IF((IF(H62="",IF($D$35="",0,$D$35),H62))=0,0,H52/(IF(H62="",IF($D$35="",0,$D$35),H62)))))))*(IF(H62="",IF($D$35="",0,$D$35),H62))))</f>
        <v/>
      </c>
      <c r="T89" s="75" t="str">
        <f aca="false">IF(R89="","",R89+S89)</f>
        <v/>
      </c>
    </row>
    <row r="90" customFormat="false" ht="15" hidden="false" customHeight="false" outlineLevel="0" collapsed="false">
      <c r="A90" s="74" t="n">
        <v>5</v>
      </c>
      <c r="B90" s="75" t="n">
        <v>1867195</v>
      </c>
      <c r="C90" s="76" t="n">
        <v>79860</v>
      </c>
      <c r="D90" s="76" t="n">
        <v>0</v>
      </c>
      <c r="E90" s="76" t="n">
        <v>79860</v>
      </c>
      <c r="F90" s="75" t="n">
        <f aca="false">IF(D52="","",IF(5&gt;IF(D55="",10,D55),"",D52*(1+IF(D53="",0,D53))^ROUNDDOWN((5-1)/IF(D54="",5,D54),0)))</f>
        <v>79860</v>
      </c>
      <c r="G90" s="75" t="n">
        <f aca="false">IF(F90="","",IF((IF(D62="",IF($D$35="",0,$D$35),D62))=0,0,MAX(0,1867195.48-(IF(D63&lt;&gt;"",D63,IF($D$37&lt;&gt;"",$D$37,IF((IF(D62="",IF($D$35="",0,$D$35),D62))=0,0,D52/(IF(D62="",IF($D$35="",0,$D$35),D62)))))))*(IF(D62="",IF($D$35="",0,$D$35),D62))))</f>
        <v>0</v>
      </c>
      <c r="H90" s="75" t="n">
        <f aca="false">IF(F90="","",F90+G90)</f>
        <v>79860</v>
      </c>
      <c r="I90" s="75" t="str">
        <f aca="false">IF(E52="","",IF(5&gt;IF(E55="",10,E55),"",E52*(1+IF(E53="",0,E53))^ROUNDDOWN((5-1)/IF(E54="",5,E54),0)))</f>
        <v/>
      </c>
      <c r="J90" s="75" t="str">
        <f aca="false">IF(I90="","",IF((IF(E62="",IF($D$35="",0,$D$35),E62))=0,0,MAX(0,1867195.48-(IF(E63&lt;&gt;"",E63,IF($D$37&lt;&gt;"",$D$37,IF((IF(E62="",IF($D$35="",0,$D$35),E62))=0,0,E52/(IF(E62="",IF($D$35="",0,$D$35),E62)))))))*(IF(E62="",IF($D$35="",0,$D$35),E62))))</f>
        <v/>
      </c>
      <c r="K90" s="75" t="str">
        <f aca="false">IF(I90="","",I90+J90)</f>
        <v/>
      </c>
      <c r="L90" s="75" t="str">
        <f aca="false">IF(F52="","",IF(5&gt;IF(F55="",10,F55),"",F52*(1+IF(F53="",0,F53))^ROUNDDOWN((5-1)/IF(F54="",5,F54),0)))</f>
        <v/>
      </c>
      <c r="M90" s="75" t="str">
        <f aca="false">IF(L90="","",IF((IF(F62="",IF($D$35="",0,$D$35),F62))=0,0,MAX(0,1867195.48-(IF(F63&lt;&gt;"",F63,IF($D$37&lt;&gt;"",$D$37,IF((IF(F62="",IF($D$35="",0,$D$35),F62))=0,0,F52/(IF(F62="",IF($D$35="",0,$D$35),F62)))))))*(IF(F62="",IF($D$35="",0,$D$35),F62))))</f>
        <v/>
      </c>
      <c r="N90" s="75" t="str">
        <f aca="false">IF(L90="","",L90+M90)</f>
        <v/>
      </c>
      <c r="O90" s="75" t="str">
        <f aca="false">IF(G52="","",IF(5&gt;IF(G55="",10,G55),"",G52*(1+IF(G53="",0,G53))^ROUNDDOWN((5-1)/IF(G54="",5,G54),0)))</f>
        <v/>
      </c>
      <c r="P90" s="75" t="str">
        <f aca="false">IF(O90="","",IF((IF(G62="",IF($D$35="",0,$D$35),G62))=0,0,MAX(0,1867195.48-(IF(G63&lt;&gt;"",G63,IF($D$37&lt;&gt;"",$D$37,IF((IF(G62="",IF($D$35="",0,$D$35),G62))=0,0,G52/(IF(G62="",IF($D$35="",0,$D$35),G62)))))))*(IF(G62="",IF($D$35="",0,$D$35),G62))))</f>
        <v/>
      </c>
      <c r="Q90" s="75" t="str">
        <f aca="false">IF(O90="","",O90+P90)</f>
        <v/>
      </c>
      <c r="R90" s="75" t="str">
        <f aca="false">IF(H52="","",IF(5&gt;IF(H55="",10,H55),"",H52*(1+IF(H53="",0,H53))^ROUNDDOWN((5-1)/IF(H54="",5,H54),0)))</f>
        <v/>
      </c>
      <c r="S90" s="75" t="str">
        <f aca="false">IF(R90="","",IF((IF(H62="",IF($D$35="",0,$D$35),H62))=0,0,MAX(0,1867195.48-(IF(H63&lt;&gt;"",H63,IF($D$37&lt;&gt;"",$D$37,IF((IF(H62="",IF($D$35="",0,$D$35),H62))=0,0,H52/(IF(H62="",IF($D$35="",0,$D$35),H62)))))))*(IF(H62="",IF($D$35="",0,$D$35),H62))))</f>
        <v/>
      </c>
      <c r="T90" s="75" t="str">
        <f aca="false">IF(R90="","",R90+S90)</f>
        <v/>
      </c>
    </row>
    <row r="91" customFormat="false" ht="15" hidden="false" customHeight="false" outlineLevel="0" collapsed="false">
      <c r="A91" s="74" t="n">
        <v>6</v>
      </c>
      <c r="B91" s="75" t="n">
        <v>1904539</v>
      </c>
      <c r="C91" s="76" t="n">
        <v>87846</v>
      </c>
      <c r="D91" s="76" t="n">
        <v>0</v>
      </c>
      <c r="E91" s="76" t="n">
        <v>87846</v>
      </c>
      <c r="F91" s="75" t="n">
        <f aca="false">IF(D52="","",IF(6&gt;IF(D55="",10,D55),"",D52*(1+IF(D53="",0,D53))^ROUNDDOWN((6-1)/IF(D54="",5,D54),0)))</f>
        <v>81457.2</v>
      </c>
      <c r="G91" s="75" t="n">
        <f aca="false">IF(F91="","",IF((IF(D62="",IF($D$35="",0,$D$35),D62))=0,0,MAX(0,1904539.39-(IF(D63&lt;&gt;"",D63,IF($D$37&lt;&gt;"",$D$37,IF((IF(D62="",IF($D$35="",0,$D$35),D62))=0,0,D52/(IF(D62="",IF($D$35="",0,$D$35),D62)))))))*(IF(D62="",IF($D$35="",0,$D$35),D62))))</f>
        <v>0</v>
      </c>
      <c r="H91" s="75" t="n">
        <f aca="false">IF(F91="","",F91+G91)</f>
        <v>81457.2</v>
      </c>
      <c r="I91" s="75" t="str">
        <f aca="false">IF(E52="","",IF(6&gt;IF(E55="",10,E55),"",E52*(1+IF(E53="",0,E53))^ROUNDDOWN((6-1)/IF(E54="",5,E54),0)))</f>
        <v/>
      </c>
      <c r="J91" s="75" t="str">
        <f aca="false">IF(I91="","",IF((IF(E62="",IF($D$35="",0,$D$35),E62))=0,0,MAX(0,1904539.39-(IF(E63&lt;&gt;"",E63,IF($D$37&lt;&gt;"",$D$37,IF((IF(E62="",IF($D$35="",0,$D$35),E62))=0,0,E52/(IF(E62="",IF($D$35="",0,$D$35),E62)))))))*(IF(E62="",IF($D$35="",0,$D$35),E62))))</f>
        <v/>
      </c>
      <c r="K91" s="75" t="str">
        <f aca="false">IF(I91="","",I91+J91)</f>
        <v/>
      </c>
      <c r="L91" s="75" t="str">
        <f aca="false">IF(F52="","",IF(6&gt;IF(F55="",10,F55),"",F52*(1+IF(F53="",0,F53))^ROUNDDOWN((6-1)/IF(F54="",5,F54),0)))</f>
        <v/>
      </c>
      <c r="M91" s="75" t="str">
        <f aca="false">IF(L91="","",IF((IF(F62="",IF($D$35="",0,$D$35),F62))=0,0,MAX(0,1904539.39-(IF(F63&lt;&gt;"",F63,IF($D$37&lt;&gt;"",$D$37,IF((IF(F62="",IF($D$35="",0,$D$35),F62))=0,0,F52/(IF(F62="",IF($D$35="",0,$D$35),F62)))))))*(IF(F62="",IF($D$35="",0,$D$35),F62))))</f>
        <v/>
      </c>
      <c r="N91" s="75" t="str">
        <f aca="false">IF(L91="","",L91+M91)</f>
        <v/>
      </c>
      <c r="O91" s="75" t="str">
        <f aca="false">IF(G52="","",IF(6&gt;IF(G55="",10,G55),"",G52*(1+IF(G53="",0,G53))^ROUNDDOWN((6-1)/IF(G54="",5,G54),0)))</f>
        <v/>
      </c>
      <c r="P91" s="75" t="str">
        <f aca="false">IF(O91="","",IF((IF(G62="",IF($D$35="",0,$D$35),G62))=0,0,MAX(0,1904539.39-(IF(G63&lt;&gt;"",G63,IF($D$37&lt;&gt;"",$D$37,IF((IF(G62="",IF($D$35="",0,$D$35),G62))=0,0,G52/(IF(G62="",IF($D$35="",0,$D$35),G62)))))))*(IF(G62="",IF($D$35="",0,$D$35),G62))))</f>
        <v/>
      </c>
      <c r="Q91" s="75" t="str">
        <f aca="false">IF(O91="","",O91+P91)</f>
        <v/>
      </c>
      <c r="R91" s="75" t="str">
        <f aca="false">IF(H52="","",IF(6&gt;IF(H55="",10,H55),"",H52*(1+IF(H53="",0,H53))^ROUNDDOWN((6-1)/IF(H54="",5,H54),0)))</f>
        <v/>
      </c>
      <c r="S91" s="75" t="str">
        <f aca="false">IF(R91="","",IF((IF(H62="",IF($D$35="",0,$D$35),H62))=0,0,MAX(0,1904539.39-(IF(H63&lt;&gt;"",H63,IF($D$37&lt;&gt;"",$D$37,IF((IF(H62="",IF($D$35="",0,$D$35),H62))=0,0,H52/(IF(H62="",IF($D$35="",0,$D$35),H62)))))))*(IF(H62="",IF($D$35="",0,$D$35),H62))))</f>
        <v/>
      </c>
      <c r="T91" s="75" t="str">
        <f aca="false">IF(R91="","",R91+S91)</f>
        <v/>
      </c>
    </row>
    <row r="92" customFormat="false" ht="15" hidden="false" customHeight="false" outlineLevel="0" collapsed="false">
      <c r="A92" s="74" t="n">
        <v>7</v>
      </c>
      <c r="B92" s="75" t="n">
        <v>1942630</v>
      </c>
      <c r="C92" s="76" t="n">
        <v>87846</v>
      </c>
      <c r="D92" s="76" t="n">
        <v>0</v>
      </c>
      <c r="E92" s="76" t="n">
        <v>87846</v>
      </c>
      <c r="F92" s="75" t="n">
        <f aca="false">IF(D52="","",IF(7&gt;IF(D55="",10,D55),"",D52*(1+IF(D53="",0,D53))^ROUNDDOWN((7-1)/IF(D54="",5,D54),0)))</f>
        <v>81457.2</v>
      </c>
      <c r="G92" s="75" t="n">
        <f aca="false">IF(F92="","",IF((IF(D62="",IF($D$35="",0,$D$35),D62))=0,0,MAX(0,1942630.17-(IF(D63&lt;&gt;"",D63,IF($D$37&lt;&gt;"",$D$37,IF((IF(D62="",IF($D$35="",0,$D$35),D62))=0,0,D52/(IF(D62="",IF($D$35="",0,$D$35),D62)))))))*(IF(D62="",IF($D$35="",0,$D$35),D62))))</f>
        <v>0</v>
      </c>
      <c r="H92" s="75" t="n">
        <f aca="false">IF(F92="","",F92+G92)</f>
        <v>81457.2</v>
      </c>
      <c r="I92" s="75" t="str">
        <f aca="false">IF(E52="","",IF(7&gt;IF(E55="",10,E55),"",E52*(1+IF(E53="",0,E53))^ROUNDDOWN((7-1)/IF(E54="",5,E54),0)))</f>
        <v/>
      </c>
      <c r="J92" s="75" t="str">
        <f aca="false">IF(I92="","",IF((IF(E62="",IF($D$35="",0,$D$35),E62))=0,0,MAX(0,1942630.17-(IF(E63&lt;&gt;"",E63,IF($D$37&lt;&gt;"",$D$37,IF((IF(E62="",IF($D$35="",0,$D$35),E62))=0,0,E52/(IF(E62="",IF($D$35="",0,$D$35),E62)))))))*(IF(E62="",IF($D$35="",0,$D$35),E62))))</f>
        <v/>
      </c>
      <c r="K92" s="75" t="str">
        <f aca="false">IF(I92="","",I92+J92)</f>
        <v/>
      </c>
      <c r="L92" s="75" t="str">
        <f aca="false">IF(F52="","",IF(7&gt;IF(F55="",10,F55),"",F52*(1+IF(F53="",0,F53))^ROUNDDOWN((7-1)/IF(F54="",5,F54),0)))</f>
        <v/>
      </c>
      <c r="M92" s="75" t="str">
        <f aca="false">IF(L92="","",IF((IF(F62="",IF($D$35="",0,$D$35),F62))=0,0,MAX(0,1942630.17-(IF(F63&lt;&gt;"",F63,IF($D$37&lt;&gt;"",$D$37,IF((IF(F62="",IF($D$35="",0,$D$35),F62))=0,0,F52/(IF(F62="",IF($D$35="",0,$D$35),F62)))))))*(IF(F62="",IF($D$35="",0,$D$35),F62))))</f>
        <v/>
      </c>
      <c r="N92" s="75" t="str">
        <f aca="false">IF(L92="","",L92+M92)</f>
        <v/>
      </c>
      <c r="O92" s="75" t="str">
        <f aca="false">IF(G52="","",IF(7&gt;IF(G55="",10,G55),"",G52*(1+IF(G53="",0,G53))^ROUNDDOWN((7-1)/IF(G54="",5,G54),0)))</f>
        <v/>
      </c>
      <c r="P92" s="75" t="str">
        <f aca="false">IF(O92="","",IF((IF(G62="",IF($D$35="",0,$D$35),G62))=0,0,MAX(0,1942630.17-(IF(G63&lt;&gt;"",G63,IF($D$37&lt;&gt;"",$D$37,IF((IF(G62="",IF($D$35="",0,$D$35),G62))=0,0,G52/(IF(G62="",IF($D$35="",0,$D$35),G62)))))))*(IF(G62="",IF($D$35="",0,$D$35),G62))))</f>
        <v/>
      </c>
      <c r="Q92" s="75" t="str">
        <f aca="false">IF(O92="","",O92+P92)</f>
        <v/>
      </c>
      <c r="R92" s="75" t="str">
        <f aca="false">IF(H52="","",IF(7&gt;IF(H55="",10,H55),"",H52*(1+IF(H53="",0,H53))^ROUNDDOWN((7-1)/IF(H54="",5,H54),0)))</f>
        <v/>
      </c>
      <c r="S92" s="75" t="str">
        <f aca="false">IF(R92="","",IF((IF(H62="",IF($D$35="",0,$D$35),H62))=0,0,MAX(0,1942630.17-(IF(H63&lt;&gt;"",H63,IF($D$37&lt;&gt;"",$D$37,IF((IF(H62="",IF($D$35="",0,$D$35),H62))=0,0,H52/(IF(H62="",IF($D$35="",0,$D$35),H62)))))))*(IF(H62="",IF($D$35="",0,$D$35),H62))))</f>
        <v/>
      </c>
      <c r="T92" s="75" t="str">
        <f aca="false">IF(R92="","",R92+S92)</f>
        <v/>
      </c>
    </row>
    <row r="93" customFormat="false" ht="15" hidden="false" customHeight="false" outlineLevel="0" collapsed="false">
      <c r="A93" s="74" t="n">
        <v>8</v>
      </c>
      <c r="B93" s="75" t="n">
        <v>1981483</v>
      </c>
      <c r="C93" s="76" t="n">
        <v>87846</v>
      </c>
      <c r="D93" s="76" t="n">
        <v>0</v>
      </c>
      <c r="E93" s="76" t="n">
        <v>87846</v>
      </c>
      <c r="F93" s="75" t="n">
        <f aca="false">IF(D52="","",IF(8&gt;IF(D55="",10,D55),"",D52*(1+IF(D53="",0,D53))^ROUNDDOWN((8-1)/IF(D54="",5,D54),0)))</f>
        <v>81457.2</v>
      </c>
      <c r="G93" s="75" t="n">
        <f aca="false">IF(F93="","",IF((IF(D62="",IF($D$35="",0,$D$35),D62))=0,0,MAX(0,1981482.78-(IF(D63&lt;&gt;"",D63,IF($D$37&lt;&gt;"",$D$37,IF((IF(D62="",IF($D$35="",0,$D$35),D62))=0,0,D52/(IF(D62="",IF($D$35="",0,$D$35),D62)))))))*(IF(D62="",IF($D$35="",0,$D$35),D62))))</f>
        <v>0</v>
      </c>
      <c r="H93" s="75" t="n">
        <f aca="false">IF(F93="","",F93+G93)</f>
        <v>81457.2</v>
      </c>
      <c r="I93" s="75" t="str">
        <f aca="false">IF(E52="","",IF(8&gt;IF(E55="",10,E55),"",E52*(1+IF(E53="",0,E53))^ROUNDDOWN((8-1)/IF(E54="",5,E54),0)))</f>
        <v/>
      </c>
      <c r="J93" s="75" t="str">
        <f aca="false">IF(I93="","",IF((IF(E62="",IF($D$35="",0,$D$35),E62))=0,0,MAX(0,1981482.78-(IF(E63&lt;&gt;"",E63,IF($D$37&lt;&gt;"",$D$37,IF((IF(E62="",IF($D$35="",0,$D$35),E62))=0,0,E52/(IF(E62="",IF($D$35="",0,$D$35),E62)))))))*(IF(E62="",IF($D$35="",0,$D$35),E62))))</f>
        <v/>
      </c>
      <c r="K93" s="75" t="str">
        <f aca="false">IF(I93="","",I93+J93)</f>
        <v/>
      </c>
      <c r="L93" s="75" t="str">
        <f aca="false">IF(F52="","",IF(8&gt;IF(F55="",10,F55),"",F52*(1+IF(F53="",0,F53))^ROUNDDOWN((8-1)/IF(F54="",5,F54),0)))</f>
        <v/>
      </c>
      <c r="M93" s="75" t="str">
        <f aca="false">IF(L93="","",IF((IF(F62="",IF($D$35="",0,$D$35),F62))=0,0,MAX(0,1981482.78-(IF(F63&lt;&gt;"",F63,IF($D$37&lt;&gt;"",$D$37,IF((IF(F62="",IF($D$35="",0,$D$35),F62))=0,0,F52/(IF(F62="",IF($D$35="",0,$D$35),F62)))))))*(IF(F62="",IF($D$35="",0,$D$35),F62))))</f>
        <v/>
      </c>
      <c r="N93" s="75" t="str">
        <f aca="false">IF(L93="","",L93+M93)</f>
        <v/>
      </c>
      <c r="O93" s="75" t="str">
        <f aca="false">IF(G52="","",IF(8&gt;IF(G55="",10,G55),"",G52*(1+IF(G53="",0,G53))^ROUNDDOWN((8-1)/IF(G54="",5,G54),0)))</f>
        <v/>
      </c>
      <c r="P93" s="75" t="str">
        <f aca="false">IF(O93="","",IF((IF(G62="",IF($D$35="",0,$D$35),G62))=0,0,MAX(0,1981482.78-(IF(G63&lt;&gt;"",G63,IF($D$37&lt;&gt;"",$D$37,IF((IF(G62="",IF($D$35="",0,$D$35),G62))=0,0,G52/(IF(G62="",IF($D$35="",0,$D$35),G62)))))))*(IF(G62="",IF($D$35="",0,$D$35),G62))))</f>
        <v/>
      </c>
      <c r="Q93" s="75" t="str">
        <f aca="false">IF(O93="","",O93+P93)</f>
        <v/>
      </c>
      <c r="R93" s="75" t="str">
        <f aca="false">IF(H52="","",IF(8&gt;IF(H55="",10,H55),"",H52*(1+IF(H53="",0,H53))^ROUNDDOWN((8-1)/IF(H54="",5,H54),0)))</f>
        <v/>
      </c>
      <c r="S93" s="75" t="str">
        <f aca="false">IF(R93="","",IF((IF(H62="",IF($D$35="",0,$D$35),H62))=0,0,MAX(0,1981482.78-(IF(H63&lt;&gt;"",H63,IF($D$37&lt;&gt;"",$D$37,IF((IF(H62="",IF($D$35="",0,$D$35),H62))=0,0,H52/(IF(H62="",IF($D$35="",0,$D$35),H62)))))))*(IF(H62="",IF($D$35="",0,$D$35),H62))))</f>
        <v/>
      </c>
      <c r="T93" s="75" t="str">
        <f aca="false">IF(R93="","",R93+S93)</f>
        <v/>
      </c>
    </row>
    <row r="94" customFormat="false" ht="15" hidden="false" customHeight="false" outlineLevel="0" collapsed="false">
      <c r="A94" s="74" t="n">
        <v>9</v>
      </c>
      <c r="B94" s="75" t="n">
        <v>2021112</v>
      </c>
      <c r="C94" s="76" t="n">
        <v>87846</v>
      </c>
      <c r="D94" s="76" t="n">
        <v>0</v>
      </c>
      <c r="E94" s="76" t="n">
        <v>87846</v>
      </c>
      <c r="F94" s="75" t="n">
        <f aca="false">IF(D52="","",IF(9&gt;IF(D55="",10,D55),"",D52*(1+IF(D53="",0,D53))^ROUNDDOWN((9-1)/IF(D54="",5,D54),0)))</f>
        <v>81457.2</v>
      </c>
      <c r="G94" s="75" t="n">
        <f aca="false">IF(F94="","",IF((IF(D62="",IF($D$35="",0,$D$35),D62))=0,0,MAX(0,2021112.43-(IF(D63&lt;&gt;"",D63,IF($D$37&lt;&gt;"",$D$37,IF((IF(D62="",IF($D$35="",0,$D$35),D62))=0,0,D52/(IF(D62="",IF($D$35="",0,$D$35),D62)))))))*(IF(D62="",IF($D$35="",0,$D$35),D62))))</f>
        <v>0</v>
      </c>
      <c r="H94" s="75" t="n">
        <f aca="false">IF(F94="","",F94+G94)</f>
        <v>81457.2</v>
      </c>
      <c r="I94" s="75" t="str">
        <f aca="false">IF(E52="","",IF(9&gt;IF(E55="",10,E55),"",E52*(1+IF(E53="",0,E53))^ROUNDDOWN((9-1)/IF(E54="",5,E54),0)))</f>
        <v/>
      </c>
      <c r="J94" s="75" t="str">
        <f aca="false">IF(I94="","",IF((IF(E62="",IF($D$35="",0,$D$35),E62))=0,0,MAX(0,2021112.43-(IF(E63&lt;&gt;"",E63,IF($D$37&lt;&gt;"",$D$37,IF((IF(E62="",IF($D$35="",0,$D$35),E62))=0,0,E52/(IF(E62="",IF($D$35="",0,$D$35),E62)))))))*(IF(E62="",IF($D$35="",0,$D$35),E62))))</f>
        <v/>
      </c>
      <c r="K94" s="75" t="str">
        <f aca="false">IF(I94="","",I94+J94)</f>
        <v/>
      </c>
      <c r="L94" s="75" t="str">
        <f aca="false">IF(F52="","",IF(9&gt;IF(F55="",10,F55),"",F52*(1+IF(F53="",0,F53))^ROUNDDOWN((9-1)/IF(F54="",5,F54),0)))</f>
        <v/>
      </c>
      <c r="M94" s="75" t="str">
        <f aca="false">IF(L94="","",IF((IF(F62="",IF($D$35="",0,$D$35),F62))=0,0,MAX(0,2021112.43-(IF(F63&lt;&gt;"",F63,IF($D$37&lt;&gt;"",$D$37,IF((IF(F62="",IF($D$35="",0,$D$35),F62))=0,0,F52/(IF(F62="",IF($D$35="",0,$D$35),F62)))))))*(IF(F62="",IF($D$35="",0,$D$35),F62))))</f>
        <v/>
      </c>
      <c r="N94" s="75" t="str">
        <f aca="false">IF(L94="","",L94+M94)</f>
        <v/>
      </c>
      <c r="O94" s="75" t="str">
        <f aca="false">IF(G52="","",IF(9&gt;IF(G55="",10,G55),"",G52*(1+IF(G53="",0,G53))^ROUNDDOWN((9-1)/IF(G54="",5,G54),0)))</f>
        <v/>
      </c>
      <c r="P94" s="75" t="str">
        <f aca="false">IF(O94="","",IF((IF(G62="",IF($D$35="",0,$D$35),G62))=0,0,MAX(0,2021112.43-(IF(G63&lt;&gt;"",G63,IF($D$37&lt;&gt;"",$D$37,IF((IF(G62="",IF($D$35="",0,$D$35),G62))=0,0,G52/(IF(G62="",IF($D$35="",0,$D$35),G62)))))))*(IF(G62="",IF($D$35="",0,$D$35),G62))))</f>
        <v/>
      </c>
      <c r="Q94" s="75" t="str">
        <f aca="false">IF(O94="","",O94+P94)</f>
        <v/>
      </c>
      <c r="R94" s="75" t="str">
        <f aca="false">IF(H52="","",IF(9&gt;IF(H55="",10,H55),"",H52*(1+IF(H53="",0,H53))^ROUNDDOWN((9-1)/IF(H54="",5,H54),0)))</f>
        <v/>
      </c>
      <c r="S94" s="75" t="str">
        <f aca="false">IF(R94="","",IF((IF(H62="",IF($D$35="",0,$D$35),H62))=0,0,MAX(0,2021112.43-(IF(H63&lt;&gt;"",H63,IF($D$37&lt;&gt;"",$D$37,IF((IF(H62="",IF($D$35="",0,$D$35),H62))=0,0,H52/(IF(H62="",IF($D$35="",0,$D$35),H62)))))))*(IF(H62="",IF($D$35="",0,$D$35),H62))))</f>
        <v/>
      </c>
      <c r="T94" s="75" t="str">
        <f aca="false">IF(R94="","",R94+S94)</f>
        <v/>
      </c>
    </row>
    <row r="95" customFormat="false" ht="15" hidden="false" customHeight="false" outlineLevel="0" collapsed="false">
      <c r="A95" s="74" t="n">
        <v>10</v>
      </c>
      <c r="B95" s="75" t="n">
        <v>2061535</v>
      </c>
      <c r="C95" s="76" t="n">
        <v>87846</v>
      </c>
      <c r="D95" s="76" t="n">
        <v>0</v>
      </c>
      <c r="E95" s="76" t="n">
        <v>87846</v>
      </c>
      <c r="F95" s="75" t="n">
        <f aca="false">IF(D52="","",IF(10&gt;IF(D55="",10,D55),"",D52*(1+IF(D53="",0,D53))^ROUNDDOWN((10-1)/IF(D54="",5,D54),0)))</f>
        <v>81457.2</v>
      </c>
      <c r="G95" s="75" t="n">
        <f aca="false">IF(F95="","",IF((IF(D62="",IF($D$35="",0,$D$35),D62))=0,0,MAX(0,2061534.68-(IF(D63&lt;&gt;"",D63,IF($D$37&lt;&gt;"",$D$37,IF((IF(D62="",IF($D$35="",0,$D$35),D62))=0,0,D52/(IF(D62="",IF($D$35="",0,$D$35),D62)))))))*(IF(D62="",IF($D$35="",0,$D$35),D62))))</f>
        <v>0</v>
      </c>
      <c r="H95" s="75" t="n">
        <f aca="false">IF(F95="","",F95+G95)</f>
        <v>81457.2</v>
      </c>
      <c r="I95" s="75" t="str">
        <f aca="false">IF(E52="","",IF(10&gt;IF(E55="",10,E55),"",E52*(1+IF(E53="",0,E53))^ROUNDDOWN((10-1)/IF(E54="",5,E54),0)))</f>
        <v/>
      </c>
      <c r="J95" s="75" t="str">
        <f aca="false">IF(I95="","",IF((IF(E62="",IF($D$35="",0,$D$35),E62))=0,0,MAX(0,2061534.68-(IF(E63&lt;&gt;"",E63,IF($D$37&lt;&gt;"",$D$37,IF((IF(E62="",IF($D$35="",0,$D$35),E62))=0,0,E52/(IF(E62="",IF($D$35="",0,$D$35),E62)))))))*(IF(E62="",IF($D$35="",0,$D$35),E62))))</f>
        <v/>
      </c>
      <c r="K95" s="75" t="str">
        <f aca="false">IF(I95="","",I95+J95)</f>
        <v/>
      </c>
      <c r="L95" s="75" t="str">
        <f aca="false">IF(F52="","",IF(10&gt;IF(F55="",10,F55),"",F52*(1+IF(F53="",0,F53))^ROUNDDOWN((10-1)/IF(F54="",5,F54),0)))</f>
        <v/>
      </c>
      <c r="M95" s="75" t="str">
        <f aca="false">IF(L95="","",IF((IF(F62="",IF($D$35="",0,$D$35),F62))=0,0,MAX(0,2061534.68-(IF(F63&lt;&gt;"",F63,IF($D$37&lt;&gt;"",$D$37,IF((IF(F62="",IF($D$35="",0,$D$35),F62))=0,0,F52/(IF(F62="",IF($D$35="",0,$D$35),F62)))))))*(IF(F62="",IF($D$35="",0,$D$35),F62))))</f>
        <v/>
      </c>
      <c r="N95" s="75" t="str">
        <f aca="false">IF(L95="","",L95+M95)</f>
        <v/>
      </c>
      <c r="O95" s="75" t="str">
        <f aca="false">IF(G52="","",IF(10&gt;IF(G55="",10,G55),"",G52*(1+IF(G53="",0,G53))^ROUNDDOWN((10-1)/IF(G54="",5,G54),0)))</f>
        <v/>
      </c>
      <c r="P95" s="75" t="str">
        <f aca="false">IF(O95="","",IF((IF(G62="",IF($D$35="",0,$D$35),G62))=0,0,MAX(0,2061534.68-(IF(G63&lt;&gt;"",G63,IF($D$37&lt;&gt;"",$D$37,IF((IF(G62="",IF($D$35="",0,$D$35),G62))=0,0,G52/(IF(G62="",IF($D$35="",0,$D$35),G62)))))))*(IF(G62="",IF($D$35="",0,$D$35),G62))))</f>
        <v/>
      </c>
      <c r="Q95" s="75" t="str">
        <f aca="false">IF(O95="","",O95+P95)</f>
        <v/>
      </c>
      <c r="R95" s="75" t="str">
        <f aca="false">IF(H52="","",IF(10&gt;IF(H55="",10,H55),"",H52*(1+IF(H53="",0,H53))^ROUNDDOWN((10-1)/IF(H54="",5,H54),0)))</f>
        <v/>
      </c>
      <c r="S95" s="75" t="str">
        <f aca="false">IF(R95="","",IF((IF(H62="",IF($D$35="",0,$D$35),H62))=0,0,MAX(0,2061534.68-(IF(H63&lt;&gt;"",H63,IF($D$37&lt;&gt;"",$D$37,IF((IF(H62="",IF($D$35="",0,$D$35),H62))=0,0,H52/(IF(H62="",IF($D$35="",0,$D$35),H62)))))))*(IF(H62="",IF($D$35="",0,$D$35),H62))))</f>
        <v/>
      </c>
      <c r="T95" s="75" t="str">
        <f aca="false">IF(R95="","",R95+S95)</f>
        <v/>
      </c>
    </row>
    <row r="96" customFormat="false" ht="15" hidden="false" customHeight="false" outlineLevel="0" collapsed="false">
      <c r="A96" s="74" t="n">
        <v>11</v>
      </c>
      <c r="B96" s="75" t="n">
        <v>2102765</v>
      </c>
      <c r="C96" s="76" t="n">
        <v>96631</v>
      </c>
      <c r="D96" s="76" t="n">
        <v>0</v>
      </c>
      <c r="E96" s="76" t="n">
        <v>96631</v>
      </c>
      <c r="F96" s="75" t="n">
        <f aca="false">IF(D52="","",IF(11&gt;IF(D55="",10,D55),"",D52*(1+IF(D53="",0,D53))^ROUNDDOWN((11-1)/IF(D54="",5,D54),0)))</f>
        <v>83086.344</v>
      </c>
      <c r="G96" s="75" t="n">
        <f aca="false">IF(F96="","",IF((IF(D62="",IF($D$35="",0,$D$35),D62))=0,0,MAX(0,2102765.37-(IF(D63&lt;&gt;"",D63,IF($D$37&lt;&gt;"",$D$37,IF((IF(D62="",IF($D$35="",0,$D$35),D62))=0,0,D52/(IF(D62="",IF($D$35="",0,$D$35),D62)))))))*(IF(D62="",IF($D$35="",0,$D$35),D62))))</f>
        <v>0</v>
      </c>
      <c r="H96" s="75" t="n">
        <f aca="false">IF(F96="","",F96+G96)</f>
        <v>83086.344</v>
      </c>
      <c r="I96" s="75" t="str">
        <f aca="false">IF(E52="","",IF(11&gt;IF(E55="",10,E55),"",E52*(1+IF(E53="",0,E53))^ROUNDDOWN((11-1)/IF(E54="",5,E54),0)))</f>
        <v/>
      </c>
      <c r="J96" s="75" t="str">
        <f aca="false">IF(I96="","",IF((IF(E62="",IF($D$35="",0,$D$35),E62))=0,0,MAX(0,2102765.37-(IF(E63&lt;&gt;"",E63,IF($D$37&lt;&gt;"",$D$37,IF((IF(E62="",IF($D$35="",0,$D$35),E62))=0,0,E52/(IF(E62="",IF($D$35="",0,$D$35),E62)))))))*(IF(E62="",IF($D$35="",0,$D$35),E62))))</f>
        <v/>
      </c>
      <c r="K96" s="75" t="str">
        <f aca="false">IF(I96="","",I96+J96)</f>
        <v/>
      </c>
      <c r="L96" s="75" t="str">
        <f aca="false">IF(F52="","",IF(11&gt;IF(F55="",10,F55),"",F52*(1+IF(F53="",0,F53))^ROUNDDOWN((11-1)/IF(F54="",5,F54),0)))</f>
        <v/>
      </c>
      <c r="M96" s="75" t="str">
        <f aca="false">IF(L96="","",IF((IF(F62="",IF($D$35="",0,$D$35),F62))=0,0,MAX(0,2102765.37-(IF(F63&lt;&gt;"",F63,IF($D$37&lt;&gt;"",$D$37,IF((IF(F62="",IF($D$35="",0,$D$35),F62))=0,0,F52/(IF(F62="",IF($D$35="",0,$D$35),F62)))))))*(IF(F62="",IF($D$35="",0,$D$35),F62))))</f>
        <v/>
      </c>
      <c r="N96" s="75" t="str">
        <f aca="false">IF(L96="","",L96+M96)</f>
        <v/>
      </c>
      <c r="O96" s="75" t="str">
        <f aca="false">IF(G52="","",IF(11&gt;IF(G55="",10,G55),"",G52*(1+IF(G53="",0,G53))^ROUNDDOWN((11-1)/IF(G54="",5,G54),0)))</f>
        <v/>
      </c>
      <c r="P96" s="75" t="str">
        <f aca="false">IF(O96="","",IF((IF(G62="",IF($D$35="",0,$D$35),G62))=0,0,MAX(0,2102765.37-(IF(G63&lt;&gt;"",G63,IF($D$37&lt;&gt;"",$D$37,IF((IF(G62="",IF($D$35="",0,$D$35),G62))=0,0,G52/(IF(G62="",IF($D$35="",0,$D$35),G62)))))))*(IF(G62="",IF($D$35="",0,$D$35),G62))))</f>
        <v/>
      </c>
      <c r="Q96" s="75" t="str">
        <f aca="false">IF(O96="","",O96+P96)</f>
        <v/>
      </c>
      <c r="R96" s="75" t="str">
        <f aca="false">IF(H52="","",IF(11&gt;IF(H55="",10,H55),"",H52*(1+IF(H53="",0,H53))^ROUNDDOWN((11-1)/IF(H54="",5,H54),0)))</f>
        <v/>
      </c>
      <c r="S96" s="75" t="str">
        <f aca="false">IF(R96="","",IF((IF(H62="",IF($D$35="",0,$D$35),H62))=0,0,MAX(0,2102765.37-(IF(H63&lt;&gt;"",H63,IF($D$37&lt;&gt;"",$D$37,IF((IF(H62="",IF($D$35="",0,$D$35),H62))=0,0,H52/(IF(H62="",IF($D$35="",0,$D$35),H62)))))))*(IF(H62="",IF($D$35="",0,$D$35),H62))))</f>
        <v/>
      </c>
      <c r="T96" s="75" t="str">
        <f aca="false">IF(R96="","",R96+S96)</f>
        <v/>
      </c>
    </row>
    <row r="97" customFormat="false" ht="15" hidden="false" customHeight="false" outlineLevel="0" collapsed="false">
      <c r="A97" s="74" t="n">
        <v>12</v>
      </c>
      <c r="B97" s="75" t="n">
        <v>2144821</v>
      </c>
      <c r="C97" s="76" t="n">
        <v>96631</v>
      </c>
      <c r="D97" s="76" t="n">
        <v>0</v>
      </c>
      <c r="E97" s="76" t="n">
        <v>96631</v>
      </c>
      <c r="F97" s="75" t="n">
        <f aca="false">IF(D52="","",IF(12&gt;IF(D55="",10,D55),"",D52*(1+IF(D53="",0,D53))^ROUNDDOWN((12-1)/IF(D54="",5,D54),0)))</f>
        <v>83086.344</v>
      </c>
      <c r="G97" s="75" t="n">
        <f aca="false">IF(F97="","",IF((IF(D62="",IF($D$35="",0,$D$35),D62))=0,0,MAX(0,2144820.68-(IF(D63&lt;&gt;"",D63,IF($D$37&lt;&gt;"",$D$37,IF((IF(D62="",IF($D$35="",0,$D$35),D62))=0,0,D52/(IF(D62="",IF($D$35="",0,$D$35),D62)))))))*(IF(D62="",IF($D$35="",0,$D$35),D62))))</f>
        <v>0</v>
      </c>
      <c r="H97" s="75" t="n">
        <f aca="false">IF(F97="","",F97+G97)</f>
        <v>83086.344</v>
      </c>
      <c r="I97" s="75" t="str">
        <f aca="false">IF(E52="","",IF(12&gt;IF(E55="",10,E55),"",E52*(1+IF(E53="",0,E53))^ROUNDDOWN((12-1)/IF(E54="",5,E54),0)))</f>
        <v/>
      </c>
      <c r="J97" s="75" t="str">
        <f aca="false">IF(I97="","",IF((IF(E62="",IF($D$35="",0,$D$35),E62))=0,0,MAX(0,2144820.68-(IF(E63&lt;&gt;"",E63,IF($D$37&lt;&gt;"",$D$37,IF((IF(E62="",IF($D$35="",0,$D$35),E62))=0,0,E52/(IF(E62="",IF($D$35="",0,$D$35),E62)))))))*(IF(E62="",IF($D$35="",0,$D$35),E62))))</f>
        <v/>
      </c>
      <c r="K97" s="75" t="str">
        <f aca="false">IF(I97="","",I97+J97)</f>
        <v/>
      </c>
      <c r="L97" s="75" t="str">
        <f aca="false">IF(F52="","",IF(12&gt;IF(F55="",10,F55),"",F52*(1+IF(F53="",0,F53))^ROUNDDOWN((12-1)/IF(F54="",5,F54),0)))</f>
        <v/>
      </c>
      <c r="M97" s="75" t="str">
        <f aca="false">IF(L97="","",IF((IF(F62="",IF($D$35="",0,$D$35),F62))=0,0,MAX(0,2144820.68-(IF(F63&lt;&gt;"",F63,IF($D$37&lt;&gt;"",$D$37,IF((IF(F62="",IF($D$35="",0,$D$35),F62))=0,0,F52/(IF(F62="",IF($D$35="",0,$D$35),F62)))))))*(IF(F62="",IF($D$35="",0,$D$35),F62))))</f>
        <v/>
      </c>
      <c r="N97" s="75" t="str">
        <f aca="false">IF(L97="","",L97+M97)</f>
        <v/>
      </c>
      <c r="O97" s="75" t="str">
        <f aca="false">IF(G52="","",IF(12&gt;IF(G55="",10,G55),"",G52*(1+IF(G53="",0,G53))^ROUNDDOWN((12-1)/IF(G54="",5,G54),0)))</f>
        <v/>
      </c>
      <c r="P97" s="75" t="str">
        <f aca="false">IF(O97="","",IF((IF(G62="",IF($D$35="",0,$D$35),G62))=0,0,MAX(0,2144820.68-(IF(G63&lt;&gt;"",G63,IF($D$37&lt;&gt;"",$D$37,IF((IF(G62="",IF($D$35="",0,$D$35),G62))=0,0,G52/(IF(G62="",IF($D$35="",0,$D$35),G62)))))))*(IF(G62="",IF($D$35="",0,$D$35),G62))))</f>
        <v/>
      </c>
      <c r="Q97" s="75" t="str">
        <f aca="false">IF(O97="","",O97+P97)</f>
        <v/>
      </c>
      <c r="R97" s="75" t="str">
        <f aca="false">IF(H52="","",IF(12&gt;IF(H55="",10,H55),"",H52*(1+IF(H53="",0,H53))^ROUNDDOWN((12-1)/IF(H54="",5,H54),0)))</f>
        <v/>
      </c>
      <c r="S97" s="75" t="str">
        <f aca="false">IF(R97="","",IF((IF(H62="",IF($D$35="",0,$D$35),H62))=0,0,MAX(0,2144820.68-(IF(H63&lt;&gt;"",H63,IF($D$37&lt;&gt;"",$D$37,IF((IF(H62="",IF($D$35="",0,$D$35),H62))=0,0,H52/(IF(H62="",IF($D$35="",0,$D$35),H62)))))))*(IF(H62="",IF($D$35="",0,$D$35),H62))))</f>
        <v/>
      </c>
      <c r="T97" s="75" t="str">
        <f aca="false">IF(R97="","",R97+S97)</f>
        <v/>
      </c>
    </row>
    <row r="98" customFormat="false" ht="15" hidden="false" customHeight="false" outlineLevel="0" collapsed="false">
      <c r="A98" s="74" t="n">
        <v>13</v>
      </c>
      <c r="B98" s="75" t="n">
        <v>2187717</v>
      </c>
      <c r="C98" s="76" t="n">
        <v>96631</v>
      </c>
      <c r="D98" s="76" t="n">
        <v>0</v>
      </c>
      <c r="E98" s="76" t="n">
        <v>96631</v>
      </c>
      <c r="F98" s="75" t="n">
        <f aca="false">IF(D52="","",IF(13&gt;IF(D55="",10,D55),"",D52*(1+IF(D53="",0,D53))^ROUNDDOWN((13-1)/IF(D54="",5,D54),0)))</f>
        <v>83086.344</v>
      </c>
      <c r="G98" s="75" t="n">
        <f aca="false">IF(F98="","",IF((IF(D62="",IF($D$35="",0,$D$35),D62))=0,0,MAX(0,2187717.1-(IF(D63&lt;&gt;"",D63,IF($D$37&lt;&gt;"",$D$37,IF((IF(D62="",IF($D$35="",0,$D$35),D62))=0,0,D52/(IF(D62="",IF($D$35="",0,$D$35),D62)))))))*(IF(D62="",IF($D$35="",0,$D$35),D62))))</f>
        <v>0</v>
      </c>
      <c r="H98" s="75" t="n">
        <f aca="false">IF(F98="","",F98+G98)</f>
        <v>83086.344</v>
      </c>
      <c r="I98" s="75" t="str">
        <f aca="false">IF(E52="","",IF(13&gt;IF(E55="",10,E55),"",E52*(1+IF(E53="",0,E53))^ROUNDDOWN((13-1)/IF(E54="",5,E54),0)))</f>
        <v/>
      </c>
      <c r="J98" s="75" t="str">
        <f aca="false">IF(I98="","",IF((IF(E62="",IF($D$35="",0,$D$35),E62))=0,0,MAX(0,2187717.1-(IF(E63&lt;&gt;"",E63,IF($D$37&lt;&gt;"",$D$37,IF((IF(E62="",IF($D$35="",0,$D$35),E62))=0,0,E52/(IF(E62="",IF($D$35="",0,$D$35),E62)))))))*(IF(E62="",IF($D$35="",0,$D$35),E62))))</f>
        <v/>
      </c>
      <c r="K98" s="75" t="str">
        <f aca="false">IF(I98="","",I98+J98)</f>
        <v/>
      </c>
      <c r="L98" s="75" t="str">
        <f aca="false">IF(F52="","",IF(13&gt;IF(F55="",10,F55),"",F52*(1+IF(F53="",0,F53))^ROUNDDOWN((13-1)/IF(F54="",5,F54),0)))</f>
        <v/>
      </c>
      <c r="M98" s="75" t="str">
        <f aca="false">IF(L98="","",IF((IF(F62="",IF($D$35="",0,$D$35),F62))=0,0,MAX(0,2187717.1-(IF(F63&lt;&gt;"",F63,IF($D$37&lt;&gt;"",$D$37,IF((IF(F62="",IF($D$35="",0,$D$35),F62))=0,0,F52/(IF(F62="",IF($D$35="",0,$D$35),F62)))))))*(IF(F62="",IF($D$35="",0,$D$35),F62))))</f>
        <v/>
      </c>
      <c r="N98" s="75" t="str">
        <f aca="false">IF(L98="","",L98+M98)</f>
        <v/>
      </c>
      <c r="O98" s="75" t="str">
        <f aca="false">IF(G52="","",IF(13&gt;IF(G55="",10,G55),"",G52*(1+IF(G53="",0,G53))^ROUNDDOWN((13-1)/IF(G54="",5,G54),0)))</f>
        <v/>
      </c>
      <c r="P98" s="75" t="str">
        <f aca="false">IF(O98="","",IF((IF(G62="",IF($D$35="",0,$D$35),G62))=0,0,MAX(0,2187717.1-(IF(G63&lt;&gt;"",G63,IF($D$37&lt;&gt;"",$D$37,IF((IF(G62="",IF($D$35="",0,$D$35),G62))=0,0,G52/(IF(G62="",IF($D$35="",0,$D$35),G62)))))))*(IF(G62="",IF($D$35="",0,$D$35),G62))))</f>
        <v/>
      </c>
      <c r="Q98" s="75" t="str">
        <f aca="false">IF(O98="","",O98+P98)</f>
        <v/>
      </c>
      <c r="R98" s="75" t="str">
        <f aca="false">IF(H52="","",IF(13&gt;IF(H55="",10,H55),"",H52*(1+IF(H53="",0,H53))^ROUNDDOWN((13-1)/IF(H54="",5,H54),0)))</f>
        <v/>
      </c>
      <c r="S98" s="75" t="str">
        <f aca="false">IF(R98="","",IF((IF(H62="",IF($D$35="",0,$D$35),H62))=0,0,MAX(0,2187717.1-(IF(H63&lt;&gt;"",H63,IF($D$37&lt;&gt;"",$D$37,IF((IF(H62="",IF($D$35="",0,$D$35),H62))=0,0,H52/(IF(H62="",IF($D$35="",0,$D$35),H62)))))))*(IF(H62="",IF($D$35="",0,$D$35),H62))))</f>
        <v/>
      </c>
      <c r="T98" s="75" t="str">
        <f aca="false">IF(R98="","",R98+S98)</f>
        <v/>
      </c>
    </row>
    <row r="99" customFormat="false" ht="15" hidden="false" customHeight="false" outlineLevel="0" collapsed="false">
      <c r="A99" s="74" t="n">
        <v>14</v>
      </c>
      <c r="B99" s="75" t="n">
        <v>2231471</v>
      </c>
      <c r="C99" s="76" t="n">
        <v>96631</v>
      </c>
      <c r="D99" s="76" t="n">
        <v>0</v>
      </c>
      <c r="E99" s="76" t="n">
        <v>96631</v>
      </c>
      <c r="F99" s="75" t="n">
        <f aca="false">IF(D52="","",IF(14&gt;IF(D55="",10,D55),"",D52*(1+IF(D53="",0,D53))^ROUNDDOWN((14-1)/IF(D54="",5,D54),0)))</f>
        <v>83086.344</v>
      </c>
      <c r="G99" s="75" t="n">
        <f aca="false">IF(F99="","",IF((IF(D62="",IF($D$35="",0,$D$35),D62))=0,0,MAX(0,2231471.44-(IF(D63&lt;&gt;"",D63,IF($D$37&lt;&gt;"",$D$37,IF((IF(D62="",IF($D$35="",0,$D$35),D62))=0,0,D52/(IF(D62="",IF($D$35="",0,$D$35),D62)))))))*(IF(D62="",IF($D$35="",0,$D$35),D62))))</f>
        <v>0</v>
      </c>
      <c r="H99" s="75" t="n">
        <f aca="false">IF(F99="","",F99+G99)</f>
        <v>83086.344</v>
      </c>
      <c r="I99" s="75" t="str">
        <f aca="false">IF(E52="","",IF(14&gt;IF(E55="",10,E55),"",E52*(1+IF(E53="",0,E53))^ROUNDDOWN((14-1)/IF(E54="",5,E54),0)))</f>
        <v/>
      </c>
      <c r="J99" s="75" t="str">
        <f aca="false">IF(I99="","",IF((IF(E62="",IF($D$35="",0,$D$35),E62))=0,0,MAX(0,2231471.44-(IF(E63&lt;&gt;"",E63,IF($D$37&lt;&gt;"",$D$37,IF((IF(E62="",IF($D$35="",0,$D$35),E62))=0,0,E52/(IF(E62="",IF($D$35="",0,$D$35),E62)))))))*(IF(E62="",IF($D$35="",0,$D$35),E62))))</f>
        <v/>
      </c>
      <c r="K99" s="75" t="str">
        <f aca="false">IF(I99="","",I99+J99)</f>
        <v/>
      </c>
      <c r="L99" s="75" t="str">
        <f aca="false">IF(F52="","",IF(14&gt;IF(F55="",10,F55),"",F52*(1+IF(F53="",0,F53))^ROUNDDOWN((14-1)/IF(F54="",5,F54),0)))</f>
        <v/>
      </c>
      <c r="M99" s="75" t="str">
        <f aca="false">IF(L99="","",IF((IF(F62="",IF($D$35="",0,$D$35),F62))=0,0,MAX(0,2231471.44-(IF(F63&lt;&gt;"",F63,IF($D$37&lt;&gt;"",$D$37,IF((IF(F62="",IF($D$35="",0,$D$35),F62))=0,0,F52/(IF(F62="",IF($D$35="",0,$D$35),F62)))))))*(IF(F62="",IF($D$35="",0,$D$35),F62))))</f>
        <v/>
      </c>
      <c r="N99" s="75" t="str">
        <f aca="false">IF(L99="","",L99+M99)</f>
        <v/>
      </c>
      <c r="O99" s="75" t="str">
        <f aca="false">IF(G52="","",IF(14&gt;IF(G55="",10,G55),"",G52*(1+IF(G53="",0,G53))^ROUNDDOWN((14-1)/IF(G54="",5,G54),0)))</f>
        <v/>
      </c>
      <c r="P99" s="75" t="str">
        <f aca="false">IF(O99="","",IF((IF(G62="",IF($D$35="",0,$D$35),G62))=0,0,MAX(0,2231471.44-(IF(G63&lt;&gt;"",G63,IF($D$37&lt;&gt;"",$D$37,IF((IF(G62="",IF($D$35="",0,$D$35),G62))=0,0,G52/(IF(G62="",IF($D$35="",0,$D$35),G62)))))))*(IF(G62="",IF($D$35="",0,$D$35),G62))))</f>
        <v/>
      </c>
      <c r="Q99" s="75" t="str">
        <f aca="false">IF(O99="","",O99+P99)</f>
        <v/>
      </c>
      <c r="R99" s="75" t="str">
        <f aca="false">IF(H52="","",IF(14&gt;IF(H55="",10,H55),"",H52*(1+IF(H53="",0,H53))^ROUNDDOWN((14-1)/IF(H54="",5,H54),0)))</f>
        <v/>
      </c>
      <c r="S99" s="75" t="str">
        <f aca="false">IF(R99="","",IF((IF(H62="",IF($D$35="",0,$D$35),H62))=0,0,MAX(0,2231471.44-(IF(H63&lt;&gt;"",H63,IF($D$37&lt;&gt;"",$D$37,IF((IF(H62="",IF($D$35="",0,$D$35),H62))=0,0,H52/(IF(H62="",IF($D$35="",0,$D$35),H62)))))))*(IF(H62="",IF($D$35="",0,$D$35),H62))))</f>
        <v/>
      </c>
      <c r="T99" s="75" t="str">
        <f aca="false">IF(R99="","",R99+S99)</f>
        <v/>
      </c>
    </row>
    <row r="100" customFormat="false" ht="15" hidden="false" customHeight="false" outlineLevel="0" collapsed="false">
      <c r="A100" s="74" t="n">
        <v>15</v>
      </c>
      <c r="B100" s="75" t="n">
        <v>2276101</v>
      </c>
      <c r="C100" s="76" t="n">
        <v>96631</v>
      </c>
      <c r="D100" s="76" t="n">
        <v>0</v>
      </c>
      <c r="E100" s="76" t="n">
        <v>96631</v>
      </c>
      <c r="F100" s="75" t="n">
        <f aca="false">IF(D52="","",IF(15&gt;IF(D55="",10,D55),"",D52*(1+IF(D53="",0,D53))^ROUNDDOWN((15-1)/IF(D54="",5,D54),0)))</f>
        <v>83086.344</v>
      </c>
      <c r="G100" s="75" t="n">
        <f aca="false">IF(F100="","",IF((IF(D62="",IF($D$35="",0,$D$35),D62))=0,0,MAX(0,2276100.87-(IF(D63&lt;&gt;"",D63,IF($D$37&lt;&gt;"",$D$37,IF((IF(D62="",IF($D$35="",0,$D$35),D62))=0,0,D52/(IF(D62="",IF($D$35="",0,$D$35),D62)))))))*(IF(D62="",IF($D$35="",0,$D$35),D62))))</f>
        <v>0</v>
      </c>
      <c r="H100" s="75" t="n">
        <f aca="false">IF(F100="","",F100+G100)</f>
        <v>83086.344</v>
      </c>
      <c r="I100" s="75" t="str">
        <f aca="false">IF(E52="","",IF(15&gt;IF(E55="",10,E55),"",E52*(1+IF(E53="",0,E53))^ROUNDDOWN((15-1)/IF(E54="",5,E54),0)))</f>
        <v/>
      </c>
      <c r="J100" s="75" t="str">
        <f aca="false">IF(I100="","",IF((IF(E62="",IF($D$35="",0,$D$35),E62))=0,0,MAX(0,2276100.87-(IF(E63&lt;&gt;"",E63,IF($D$37&lt;&gt;"",$D$37,IF((IF(E62="",IF($D$35="",0,$D$35),E62))=0,0,E52/(IF(E62="",IF($D$35="",0,$D$35),E62)))))))*(IF(E62="",IF($D$35="",0,$D$35),E62))))</f>
        <v/>
      </c>
      <c r="K100" s="75" t="str">
        <f aca="false">IF(I100="","",I100+J100)</f>
        <v/>
      </c>
      <c r="L100" s="75" t="str">
        <f aca="false">IF(F52="","",IF(15&gt;IF(F55="",10,F55),"",F52*(1+IF(F53="",0,F53))^ROUNDDOWN((15-1)/IF(F54="",5,F54),0)))</f>
        <v/>
      </c>
      <c r="M100" s="75" t="str">
        <f aca="false">IF(L100="","",IF((IF(F62="",IF($D$35="",0,$D$35),F62))=0,0,MAX(0,2276100.87-(IF(F63&lt;&gt;"",F63,IF($D$37&lt;&gt;"",$D$37,IF((IF(F62="",IF($D$35="",0,$D$35),F62))=0,0,F52/(IF(F62="",IF($D$35="",0,$D$35),F62)))))))*(IF(F62="",IF($D$35="",0,$D$35),F62))))</f>
        <v/>
      </c>
      <c r="N100" s="75" t="str">
        <f aca="false">IF(L100="","",L100+M100)</f>
        <v/>
      </c>
      <c r="O100" s="75" t="str">
        <f aca="false">IF(G52="","",IF(15&gt;IF(G55="",10,G55),"",G52*(1+IF(G53="",0,G53))^ROUNDDOWN((15-1)/IF(G54="",5,G54),0)))</f>
        <v/>
      </c>
      <c r="P100" s="75" t="str">
        <f aca="false">IF(O100="","",IF((IF(G62="",IF($D$35="",0,$D$35),G62))=0,0,MAX(0,2276100.87-(IF(G63&lt;&gt;"",G63,IF($D$37&lt;&gt;"",$D$37,IF((IF(G62="",IF($D$35="",0,$D$35),G62))=0,0,G52/(IF(G62="",IF($D$35="",0,$D$35),G62)))))))*(IF(G62="",IF($D$35="",0,$D$35),G62))))</f>
        <v/>
      </c>
      <c r="Q100" s="75" t="str">
        <f aca="false">IF(O100="","",O100+P100)</f>
        <v/>
      </c>
      <c r="R100" s="75" t="str">
        <f aca="false">IF(H52="","",IF(15&gt;IF(H55="",10,H55),"",H52*(1+IF(H53="",0,H53))^ROUNDDOWN((15-1)/IF(H54="",5,H54),0)))</f>
        <v/>
      </c>
      <c r="S100" s="75" t="str">
        <f aca="false">IF(R100="","",IF((IF(H62="",IF($D$35="",0,$D$35),H62))=0,0,MAX(0,2276100.87-(IF(H63&lt;&gt;"",H63,IF($D$37&lt;&gt;"",$D$37,IF((IF(H62="",IF($D$35="",0,$D$35),H62))=0,0,H52/(IF(H62="",IF($D$35="",0,$D$35),H62)))))))*(IF(H62="",IF($D$35="",0,$D$35),H62))))</f>
        <v/>
      </c>
      <c r="T100" s="75" t="str">
        <f aca="false">IF(R100="","",R100+S100)</f>
        <v/>
      </c>
    </row>
    <row r="101" customFormat="false" ht="15" hidden="false" customHeight="false" outlineLevel="0" collapsed="false">
      <c r="A101" s="74" t="n">
        <v>16</v>
      </c>
      <c r="B101" s="75" t="n">
        <v>2321623</v>
      </c>
      <c r="C101" s="76" t="n">
        <v>106294</v>
      </c>
      <c r="D101" s="76" t="n">
        <v>0</v>
      </c>
      <c r="E101" s="76" t="n">
        <v>106294</v>
      </c>
      <c r="F101" s="75" t="n">
        <f aca="false">IF(D52="","",IF(16&gt;IF(D55="",10,D55),"",D52*(1+IF(D53="",0,D53))^ROUNDDOWN((16-1)/IF(D54="",5,D54),0)))</f>
        <v>84748.07088</v>
      </c>
      <c r="G101" s="75" t="n">
        <f aca="false">IF(F101="","",IF((IF(D62="",IF($D$35="",0,$D$35),D62))=0,0,MAX(0,2321622.88-(IF(D63&lt;&gt;"",D63,IF($D$37&lt;&gt;"",$D$37,IF((IF(D62="",IF($D$35="",0,$D$35),D62))=0,0,D52/(IF(D62="",IF($D$35="",0,$D$35),D62)))))))*(IF(D62="",IF($D$35="",0,$D$35),D62))))</f>
        <v>0</v>
      </c>
      <c r="H101" s="75" t="n">
        <f aca="false">IF(F101="","",F101+G101)</f>
        <v>84748.07088</v>
      </c>
      <c r="I101" s="75" t="str">
        <f aca="false">IF(E52="","",IF(16&gt;IF(E55="",10,E55),"",E52*(1+IF(E53="",0,E53))^ROUNDDOWN((16-1)/IF(E54="",5,E54),0)))</f>
        <v/>
      </c>
      <c r="J101" s="75" t="str">
        <f aca="false">IF(I101="","",IF((IF(E62="",IF($D$35="",0,$D$35),E62))=0,0,MAX(0,2321622.88-(IF(E63&lt;&gt;"",E63,IF($D$37&lt;&gt;"",$D$37,IF((IF(E62="",IF($D$35="",0,$D$35),E62))=0,0,E52/(IF(E62="",IF($D$35="",0,$D$35),E62)))))))*(IF(E62="",IF($D$35="",0,$D$35),E62))))</f>
        <v/>
      </c>
      <c r="K101" s="75" t="str">
        <f aca="false">IF(I101="","",I101+J101)</f>
        <v/>
      </c>
      <c r="L101" s="75" t="str">
        <f aca="false">IF(F52="","",IF(16&gt;IF(F55="",10,F55),"",F52*(1+IF(F53="",0,F53))^ROUNDDOWN((16-1)/IF(F54="",5,F54),0)))</f>
        <v/>
      </c>
      <c r="M101" s="75" t="str">
        <f aca="false">IF(L101="","",IF((IF(F62="",IF($D$35="",0,$D$35),F62))=0,0,MAX(0,2321622.88-(IF(F63&lt;&gt;"",F63,IF($D$37&lt;&gt;"",$D$37,IF((IF(F62="",IF($D$35="",0,$D$35),F62))=0,0,F52/(IF(F62="",IF($D$35="",0,$D$35),F62)))))))*(IF(F62="",IF($D$35="",0,$D$35),F62))))</f>
        <v/>
      </c>
      <c r="N101" s="75" t="str">
        <f aca="false">IF(L101="","",L101+M101)</f>
        <v/>
      </c>
      <c r="O101" s="75" t="str">
        <f aca="false">IF(G52="","",IF(16&gt;IF(G55="",10,G55),"",G52*(1+IF(G53="",0,G53))^ROUNDDOWN((16-1)/IF(G54="",5,G54),0)))</f>
        <v/>
      </c>
      <c r="P101" s="75" t="str">
        <f aca="false">IF(O101="","",IF((IF(G62="",IF($D$35="",0,$D$35),G62))=0,0,MAX(0,2321622.88-(IF(G63&lt;&gt;"",G63,IF($D$37&lt;&gt;"",$D$37,IF((IF(G62="",IF($D$35="",0,$D$35),G62))=0,0,G52/(IF(G62="",IF($D$35="",0,$D$35),G62)))))))*(IF(G62="",IF($D$35="",0,$D$35),G62))))</f>
        <v/>
      </c>
      <c r="Q101" s="75" t="str">
        <f aca="false">IF(O101="","",O101+P101)</f>
        <v/>
      </c>
      <c r="R101" s="75" t="str">
        <f aca="false">IF(H52="","",IF(16&gt;IF(H55="",10,H55),"",H52*(1+IF(H53="",0,H53))^ROUNDDOWN((16-1)/IF(H54="",5,H54),0)))</f>
        <v/>
      </c>
      <c r="S101" s="75" t="str">
        <f aca="false">IF(R101="","",IF((IF(H62="",IF($D$35="",0,$D$35),H62))=0,0,MAX(0,2321622.88-(IF(H63&lt;&gt;"",H63,IF($D$37&lt;&gt;"",$D$37,IF((IF(H62="",IF($D$35="",0,$D$35),H62))=0,0,H52/(IF(H62="",IF($D$35="",0,$D$35),H62)))))))*(IF(H62="",IF($D$35="",0,$D$35),H62))))</f>
        <v/>
      </c>
      <c r="T101" s="75" t="str">
        <f aca="false">IF(R101="","",R101+S101)</f>
        <v/>
      </c>
    </row>
    <row r="102" customFormat="false" ht="15" hidden="false" customHeight="false" outlineLevel="0" collapsed="false">
      <c r="A102" s="74" t="n">
        <v>17</v>
      </c>
      <c r="B102" s="75" t="n">
        <v>2368055</v>
      </c>
      <c r="C102" s="76" t="n">
        <v>106294</v>
      </c>
      <c r="D102" s="76" t="n">
        <v>0</v>
      </c>
      <c r="E102" s="76" t="n">
        <v>106294</v>
      </c>
      <c r="F102" s="75" t="n">
        <f aca="false">IF(D52="","",IF(17&gt;IF(D55="",10,D55),"",D52*(1+IF(D53="",0,D53))^ROUNDDOWN((17-1)/IF(D54="",5,D54),0)))</f>
        <v>84748.07088</v>
      </c>
      <c r="G102" s="75" t="n">
        <f aca="false">IF(F102="","",IF((IF(D62="",IF($D$35="",0,$D$35),D62))=0,0,MAX(0,2368055.34-(IF(D63&lt;&gt;"",D63,IF($D$37&lt;&gt;"",$D$37,IF((IF(D62="",IF($D$35="",0,$D$35),D62))=0,0,D52/(IF(D62="",IF($D$35="",0,$D$35),D62)))))))*(IF(D62="",IF($D$35="",0,$D$35),D62))))</f>
        <v>0</v>
      </c>
      <c r="H102" s="75" t="n">
        <f aca="false">IF(F102="","",F102+G102)</f>
        <v>84748.07088</v>
      </c>
      <c r="I102" s="75" t="str">
        <f aca="false">IF(E52="","",IF(17&gt;IF(E55="",10,E55),"",E52*(1+IF(E53="",0,E53))^ROUNDDOWN((17-1)/IF(E54="",5,E54),0)))</f>
        <v/>
      </c>
      <c r="J102" s="75" t="str">
        <f aca="false">IF(I102="","",IF((IF(E62="",IF($D$35="",0,$D$35),E62))=0,0,MAX(0,2368055.34-(IF(E63&lt;&gt;"",E63,IF($D$37&lt;&gt;"",$D$37,IF((IF(E62="",IF($D$35="",0,$D$35),E62))=0,0,E52/(IF(E62="",IF($D$35="",0,$D$35),E62)))))))*(IF(E62="",IF($D$35="",0,$D$35),E62))))</f>
        <v/>
      </c>
      <c r="K102" s="75" t="str">
        <f aca="false">IF(I102="","",I102+J102)</f>
        <v/>
      </c>
      <c r="L102" s="75" t="str">
        <f aca="false">IF(F52="","",IF(17&gt;IF(F55="",10,F55),"",F52*(1+IF(F53="",0,F53))^ROUNDDOWN((17-1)/IF(F54="",5,F54),0)))</f>
        <v/>
      </c>
      <c r="M102" s="75" t="str">
        <f aca="false">IF(L102="","",IF((IF(F62="",IF($D$35="",0,$D$35),F62))=0,0,MAX(0,2368055.34-(IF(F63&lt;&gt;"",F63,IF($D$37&lt;&gt;"",$D$37,IF((IF(F62="",IF($D$35="",0,$D$35),F62))=0,0,F52/(IF(F62="",IF($D$35="",0,$D$35),F62)))))))*(IF(F62="",IF($D$35="",0,$D$35),F62))))</f>
        <v/>
      </c>
      <c r="N102" s="75" t="str">
        <f aca="false">IF(L102="","",L102+M102)</f>
        <v/>
      </c>
      <c r="O102" s="75" t="str">
        <f aca="false">IF(G52="","",IF(17&gt;IF(G55="",10,G55),"",G52*(1+IF(G53="",0,G53))^ROUNDDOWN((17-1)/IF(G54="",5,G54),0)))</f>
        <v/>
      </c>
      <c r="P102" s="75" t="str">
        <f aca="false">IF(O102="","",IF((IF(G62="",IF($D$35="",0,$D$35),G62))=0,0,MAX(0,2368055.34-(IF(G63&lt;&gt;"",G63,IF($D$37&lt;&gt;"",$D$37,IF((IF(G62="",IF($D$35="",0,$D$35),G62))=0,0,G52/(IF(G62="",IF($D$35="",0,$D$35),G62)))))))*(IF(G62="",IF($D$35="",0,$D$35),G62))))</f>
        <v/>
      </c>
      <c r="Q102" s="75" t="str">
        <f aca="false">IF(O102="","",O102+P102)</f>
        <v/>
      </c>
      <c r="R102" s="75" t="str">
        <f aca="false">IF(H52="","",IF(17&gt;IF(H55="",10,H55),"",H52*(1+IF(H53="",0,H53))^ROUNDDOWN((17-1)/IF(H54="",5,H54),0)))</f>
        <v/>
      </c>
      <c r="S102" s="75" t="str">
        <f aca="false">IF(R102="","",IF((IF(H62="",IF($D$35="",0,$D$35),H62))=0,0,MAX(0,2368055.34-(IF(H63&lt;&gt;"",H63,IF($D$37&lt;&gt;"",$D$37,IF((IF(H62="",IF($D$35="",0,$D$35),H62))=0,0,H52/(IF(H62="",IF($D$35="",0,$D$35),H62)))))))*(IF(H62="",IF($D$35="",0,$D$35),H62))))</f>
        <v/>
      </c>
      <c r="T102" s="75" t="str">
        <f aca="false">IF(R102="","",R102+S102)</f>
        <v/>
      </c>
    </row>
    <row r="103" customFormat="false" ht="15" hidden="false" customHeight="false" outlineLevel="0" collapsed="false">
      <c r="A103" s="74" t="n">
        <v>18</v>
      </c>
      <c r="B103" s="75" t="n">
        <v>2415416</v>
      </c>
      <c r="C103" s="76" t="n">
        <v>106294</v>
      </c>
      <c r="D103" s="76" t="n">
        <v>0</v>
      </c>
      <c r="E103" s="76" t="n">
        <v>106294</v>
      </c>
      <c r="F103" s="75" t="n">
        <f aca="false">IF(D52="","",IF(18&gt;IF(D55="",10,D55),"",D52*(1+IF(D53="",0,D53))^ROUNDDOWN((18-1)/IF(D54="",5,D54),0)))</f>
        <v>84748.07088</v>
      </c>
      <c r="G103" s="75" t="n">
        <f aca="false">IF(F103="","",IF((IF(D62="",IF($D$35="",0,$D$35),D62))=0,0,MAX(0,2415416.45-(IF(D63&lt;&gt;"",D63,IF($D$37&lt;&gt;"",$D$37,IF((IF(D62="",IF($D$35="",0,$D$35),D62))=0,0,D52/(IF(D62="",IF($D$35="",0,$D$35),D62)))))))*(IF(D62="",IF($D$35="",0,$D$35),D62))))</f>
        <v>0</v>
      </c>
      <c r="H103" s="75" t="n">
        <f aca="false">IF(F103="","",F103+G103)</f>
        <v>84748.07088</v>
      </c>
      <c r="I103" s="75" t="str">
        <f aca="false">IF(E52="","",IF(18&gt;IF(E55="",10,E55),"",E52*(1+IF(E53="",0,E53))^ROUNDDOWN((18-1)/IF(E54="",5,E54),0)))</f>
        <v/>
      </c>
      <c r="J103" s="75" t="str">
        <f aca="false">IF(I103="","",IF((IF(E62="",IF($D$35="",0,$D$35),E62))=0,0,MAX(0,2415416.45-(IF(E63&lt;&gt;"",E63,IF($D$37&lt;&gt;"",$D$37,IF((IF(E62="",IF($D$35="",0,$D$35),E62))=0,0,E52/(IF(E62="",IF($D$35="",0,$D$35),E62)))))))*(IF(E62="",IF($D$35="",0,$D$35),E62))))</f>
        <v/>
      </c>
      <c r="K103" s="75" t="str">
        <f aca="false">IF(I103="","",I103+J103)</f>
        <v/>
      </c>
      <c r="L103" s="75" t="str">
        <f aca="false">IF(F52="","",IF(18&gt;IF(F55="",10,F55),"",F52*(1+IF(F53="",0,F53))^ROUNDDOWN((18-1)/IF(F54="",5,F54),0)))</f>
        <v/>
      </c>
      <c r="M103" s="75" t="str">
        <f aca="false">IF(L103="","",IF((IF(F62="",IF($D$35="",0,$D$35),F62))=0,0,MAX(0,2415416.45-(IF(F63&lt;&gt;"",F63,IF($D$37&lt;&gt;"",$D$37,IF((IF(F62="",IF($D$35="",0,$D$35),F62))=0,0,F52/(IF(F62="",IF($D$35="",0,$D$35),F62)))))))*(IF(F62="",IF($D$35="",0,$D$35),F62))))</f>
        <v/>
      </c>
      <c r="N103" s="75" t="str">
        <f aca="false">IF(L103="","",L103+M103)</f>
        <v/>
      </c>
      <c r="O103" s="75" t="str">
        <f aca="false">IF(G52="","",IF(18&gt;IF(G55="",10,G55),"",G52*(1+IF(G53="",0,G53))^ROUNDDOWN((18-1)/IF(G54="",5,G54),0)))</f>
        <v/>
      </c>
      <c r="P103" s="75" t="str">
        <f aca="false">IF(O103="","",IF((IF(G62="",IF($D$35="",0,$D$35),G62))=0,0,MAX(0,2415416.45-(IF(G63&lt;&gt;"",G63,IF($D$37&lt;&gt;"",$D$37,IF((IF(G62="",IF($D$35="",0,$D$35),G62))=0,0,G52/(IF(G62="",IF($D$35="",0,$D$35),G62)))))))*(IF(G62="",IF($D$35="",0,$D$35),G62))))</f>
        <v/>
      </c>
      <c r="Q103" s="75" t="str">
        <f aca="false">IF(O103="","",O103+P103)</f>
        <v/>
      </c>
      <c r="R103" s="75" t="str">
        <f aca="false">IF(H52="","",IF(18&gt;IF(H55="",10,H55),"",H52*(1+IF(H53="",0,H53))^ROUNDDOWN((18-1)/IF(H54="",5,H54),0)))</f>
        <v/>
      </c>
      <c r="S103" s="75" t="str">
        <f aca="false">IF(R103="","",IF((IF(H62="",IF($D$35="",0,$D$35),H62))=0,0,MAX(0,2415416.45-(IF(H63&lt;&gt;"",H63,IF($D$37&lt;&gt;"",$D$37,IF((IF(H62="",IF($D$35="",0,$D$35),H62))=0,0,H52/(IF(H62="",IF($D$35="",0,$D$35),H62)))))))*(IF(H62="",IF($D$35="",0,$D$35),H62))))</f>
        <v/>
      </c>
      <c r="T103" s="75" t="str">
        <f aca="false">IF(R103="","",R103+S103)</f>
        <v/>
      </c>
    </row>
    <row r="104" customFormat="false" ht="15" hidden="false" customHeight="false" outlineLevel="0" collapsed="false">
      <c r="A104" s="74" t="n">
        <v>19</v>
      </c>
      <c r="B104" s="75" t="n">
        <v>2463725</v>
      </c>
      <c r="C104" s="76" t="n">
        <v>106294</v>
      </c>
      <c r="D104" s="76" t="n">
        <v>0</v>
      </c>
      <c r="E104" s="76" t="n">
        <v>106294</v>
      </c>
      <c r="F104" s="75" t="n">
        <f aca="false">IF(D52="","",IF(19&gt;IF(D55="",10,D55),"",D52*(1+IF(D53="",0,D53))^ROUNDDOWN((19-1)/IF(D54="",5,D54),0)))</f>
        <v>84748.07088</v>
      </c>
      <c r="G104" s="75" t="n">
        <f aca="false">IF(F104="","",IF((IF(D62="",IF($D$35="",0,$D$35),D62))=0,0,MAX(0,2463724.78-(IF(D63&lt;&gt;"",D63,IF($D$37&lt;&gt;"",$D$37,IF((IF(D62="",IF($D$35="",0,$D$35),D62))=0,0,D52/(IF(D62="",IF($D$35="",0,$D$35),D62)))))))*(IF(D62="",IF($D$35="",0,$D$35),D62))))</f>
        <v>0</v>
      </c>
      <c r="H104" s="75" t="n">
        <f aca="false">IF(F104="","",F104+G104)</f>
        <v>84748.07088</v>
      </c>
      <c r="I104" s="75" t="str">
        <f aca="false">IF(E52="","",IF(19&gt;IF(E55="",10,E55),"",E52*(1+IF(E53="",0,E53))^ROUNDDOWN((19-1)/IF(E54="",5,E54),0)))</f>
        <v/>
      </c>
      <c r="J104" s="75" t="str">
        <f aca="false">IF(I104="","",IF((IF(E62="",IF($D$35="",0,$D$35),E62))=0,0,MAX(0,2463724.78-(IF(E63&lt;&gt;"",E63,IF($D$37&lt;&gt;"",$D$37,IF((IF(E62="",IF($D$35="",0,$D$35),E62))=0,0,E52/(IF(E62="",IF($D$35="",0,$D$35),E62)))))))*(IF(E62="",IF($D$35="",0,$D$35),E62))))</f>
        <v/>
      </c>
      <c r="K104" s="75" t="str">
        <f aca="false">IF(I104="","",I104+J104)</f>
        <v/>
      </c>
      <c r="L104" s="75" t="str">
        <f aca="false">IF(F52="","",IF(19&gt;IF(F55="",10,F55),"",F52*(1+IF(F53="",0,F53))^ROUNDDOWN((19-1)/IF(F54="",5,F54),0)))</f>
        <v/>
      </c>
      <c r="M104" s="75" t="str">
        <f aca="false">IF(L104="","",IF((IF(F62="",IF($D$35="",0,$D$35),F62))=0,0,MAX(0,2463724.78-(IF(F63&lt;&gt;"",F63,IF($D$37&lt;&gt;"",$D$37,IF((IF(F62="",IF($D$35="",0,$D$35),F62))=0,0,F52/(IF(F62="",IF($D$35="",0,$D$35),F62)))))))*(IF(F62="",IF($D$35="",0,$D$35),F62))))</f>
        <v/>
      </c>
      <c r="N104" s="75" t="str">
        <f aca="false">IF(L104="","",L104+M104)</f>
        <v/>
      </c>
      <c r="O104" s="75" t="str">
        <f aca="false">IF(G52="","",IF(19&gt;IF(G55="",10,G55),"",G52*(1+IF(G53="",0,G53))^ROUNDDOWN((19-1)/IF(G54="",5,G54),0)))</f>
        <v/>
      </c>
      <c r="P104" s="75" t="str">
        <f aca="false">IF(O104="","",IF((IF(G62="",IF($D$35="",0,$D$35),G62))=0,0,MAX(0,2463724.78-(IF(G63&lt;&gt;"",G63,IF($D$37&lt;&gt;"",$D$37,IF((IF(G62="",IF($D$35="",0,$D$35),G62))=0,0,G52/(IF(G62="",IF($D$35="",0,$D$35),G62)))))))*(IF(G62="",IF($D$35="",0,$D$35),G62))))</f>
        <v/>
      </c>
      <c r="Q104" s="75" t="str">
        <f aca="false">IF(O104="","",O104+P104)</f>
        <v/>
      </c>
      <c r="R104" s="75" t="str">
        <f aca="false">IF(H52="","",IF(19&gt;IF(H55="",10,H55),"",H52*(1+IF(H53="",0,H53))^ROUNDDOWN((19-1)/IF(H54="",5,H54),0)))</f>
        <v/>
      </c>
      <c r="S104" s="75" t="str">
        <f aca="false">IF(R104="","",IF((IF(H62="",IF($D$35="",0,$D$35),H62))=0,0,MAX(0,2463724.78-(IF(H63&lt;&gt;"",H63,IF($D$37&lt;&gt;"",$D$37,IF((IF(H62="",IF($D$35="",0,$D$35),H62))=0,0,H52/(IF(H62="",IF($D$35="",0,$D$35),H62)))))))*(IF(H62="",IF($D$35="",0,$D$35),H62))))</f>
        <v/>
      </c>
      <c r="T104" s="75" t="str">
        <f aca="false">IF(R104="","",R104+S104)</f>
        <v/>
      </c>
    </row>
    <row r="105" customFormat="false" ht="15" hidden="false" customHeight="false" outlineLevel="0" collapsed="false">
      <c r="A105" s="74" t="n">
        <v>20</v>
      </c>
      <c r="B105" s="75" t="n">
        <v>2512999</v>
      </c>
      <c r="C105" s="76" t="n">
        <v>106294</v>
      </c>
      <c r="D105" s="76" t="n">
        <v>0</v>
      </c>
      <c r="E105" s="76" t="n">
        <v>106294</v>
      </c>
      <c r="F105" s="75" t="n">
        <f aca="false">IF(D52="","",IF(20&gt;IF(D55="",10,D55),"",D52*(1+IF(D53="",0,D53))^ROUNDDOWN((20-1)/IF(D54="",5,D54),0)))</f>
        <v>84748.07088</v>
      </c>
      <c r="G105" s="75" t="n">
        <f aca="false">IF(F105="","",IF((IF(D62="",IF($D$35="",0,$D$35),D62))=0,0,MAX(0,2512999.27-(IF(D63&lt;&gt;"",D63,IF($D$37&lt;&gt;"",$D$37,IF((IF(D62="",IF($D$35="",0,$D$35),D62))=0,0,D52/(IF(D62="",IF($D$35="",0,$D$35),D62)))))))*(IF(D62="",IF($D$35="",0,$D$35),D62))))</f>
        <v>0</v>
      </c>
      <c r="H105" s="75" t="n">
        <f aca="false">IF(F105="","",F105+G105)</f>
        <v>84748.07088</v>
      </c>
      <c r="I105" s="75" t="str">
        <f aca="false">IF(E52="","",IF(20&gt;IF(E55="",10,E55),"",E52*(1+IF(E53="",0,E53))^ROUNDDOWN((20-1)/IF(E54="",5,E54),0)))</f>
        <v/>
      </c>
      <c r="J105" s="75" t="str">
        <f aca="false">IF(I105="","",IF((IF(E62="",IF($D$35="",0,$D$35),E62))=0,0,MAX(0,2512999.27-(IF(E63&lt;&gt;"",E63,IF($D$37&lt;&gt;"",$D$37,IF((IF(E62="",IF($D$35="",0,$D$35),E62))=0,0,E52/(IF(E62="",IF($D$35="",0,$D$35),E62)))))))*(IF(E62="",IF($D$35="",0,$D$35),E62))))</f>
        <v/>
      </c>
      <c r="K105" s="75" t="str">
        <f aca="false">IF(I105="","",I105+J105)</f>
        <v/>
      </c>
      <c r="L105" s="75" t="str">
        <f aca="false">IF(F52="","",IF(20&gt;IF(F55="",10,F55),"",F52*(1+IF(F53="",0,F53))^ROUNDDOWN((20-1)/IF(F54="",5,F54),0)))</f>
        <v/>
      </c>
      <c r="M105" s="75" t="str">
        <f aca="false">IF(L105="","",IF((IF(F62="",IF($D$35="",0,$D$35),F62))=0,0,MAX(0,2512999.27-(IF(F63&lt;&gt;"",F63,IF($D$37&lt;&gt;"",$D$37,IF((IF(F62="",IF($D$35="",0,$D$35),F62))=0,0,F52/(IF(F62="",IF($D$35="",0,$D$35),F62)))))))*(IF(F62="",IF($D$35="",0,$D$35),F62))))</f>
        <v/>
      </c>
      <c r="N105" s="75" t="str">
        <f aca="false">IF(L105="","",L105+M105)</f>
        <v/>
      </c>
      <c r="O105" s="75" t="str">
        <f aca="false">IF(G52="","",IF(20&gt;IF(G55="",10,G55),"",G52*(1+IF(G53="",0,G53))^ROUNDDOWN((20-1)/IF(G54="",5,G54),0)))</f>
        <v/>
      </c>
      <c r="P105" s="75" t="str">
        <f aca="false">IF(O105="","",IF((IF(G62="",IF($D$35="",0,$D$35),G62))=0,0,MAX(0,2512999.27-(IF(G63&lt;&gt;"",G63,IF($D$37&lt;&gt;"",$D$37,IF((IF(G62="",IF($D$35="",0,$D$35),G62))=0,0,G52/(IF(G62="",IF($D$35="",0,$D$35),G62)))))))*(IF(G62="",IF($D$35="",0,$D$35),G62))))</f>
        <v/>
      </c>
      <c r="Q105" s="75" t="str">
        <f aca="false">IF(O105="","",O105+P105)</f>
        <v/>
      </c>
      <c r="R105" s="75" t="str">
        <f aca="false">IF(H52="","",IF(20&gt;IF(H55="",10,H55),"",H52*(1+IF(H53="",0,H53))^ROUNDDOWN((20-1)/IF(H54="",5,H54),0)))</f>
        <v/>
      </c>
      <c r="S105" s="75" t="str">
        <f aca="false">IF(R105="","",IF((IF(H62="",IF($D$35="",0,$D$35),H62))=0,0,MAX(0,2512999.27-(IF(H63&lt;&gt;"",H63,IF($D$37&lt;&gt;"",$D$37,IF((IF(H62="",IF($D$35="",0,$D$35),H62))=0,0,H52/(IF(H62="",IF($D$35="",0,$D$35),H62)))))))*(IF(H62="",IF($D$35="",0,$D$35),H62))))</f>
        <v/>
      </c>
      <c r="T105" s="75" t="str">
        <f aca="false">IF(R105="","",R105+S105)</f>
        <v/>
      </c>
    </row>
    <row r="106" customFormat="false" ht="15" hidden="false" customHeight="false" outlineLevel="0" collapsed="false">
      <c r="A106" s="77" t="s">
        <v>394</v>
      </c>
      <c r="C106" s="78" t="n">
        <f aca="false">IF(COUNT(C86:C105)=0,"",SUM(C86:C105))</f>
        <v>1853155</v>
      </c>
      <c r="D106" s="78" t="n">
        <f aca="false">IF(COUNT(D86:D105)=0,"",SUM(D86:D105))</f>
        <v>0</v>
      </c>
      <c r="E106" s="78" t="n">
        <f aca="false">IF(COUNT(E86:E105)=0,"",SUM(E86:E105))</f>
        <v>1853155</v>
      </c>
      <c r="F106" s="78" t="n">
        <f aca="false">IF(COUNT(F86:F105)=0,"",SUM(F86:F105))</f>
        <v>1645758.0744</v>
      </c>
      <c r="G106" s="78" t="n">
        <f aca="false">IF(COUNT(G86:G105)=0,"",SUM(G86:G105))</f>
        <v>0</v>
      </c>
      <c r="H106" s="78" t="n">
        <f aca="false">IF(COUNT(H86:H105)=0,"",SUM(H86:H105))</f>
        <v>1645758.0744</v>
      </c>
      <c r="I106" s="78" t="str">
        <f aca="false">IF(COUNT(I86:I105)=0,"",SUM(I86:I105))</f>
        <v/>
      </c>
      <c r="J106" s="78" t="str">
        <f aca="false">IF(COUNT(J86:J105)=0,"",SUM(J86:J105))</f>
        <v/>
      </c>
      <c r="K106" s="78" t="str">
        <f aca="false">IF(COUNT(K86:K105)=0,"",SUM(K86:K105))</f>
        <v/>
      </c>
      <c r="L106" s="78" t="str">
        <f aca="false">IF(COUNT(L86:L105)=0,"",SUM(L86:L105))</f>
        <v/>
      </c>
      <c r="M106" s="78" t="str">
        <f aca="false">IF(COUNT(M86:M105)=0,"",SUM(M86:M105))</f>
        <v/>
      </c>
      <c r="N106" s="78" t="str">
        <f aca="false">IF(COUNT(N86:N105)=0,"",SUM(N86:N105))</f>
        <v/>
      </c>
      <c r="O106" s="78" t="str">
        <f aca="false">IF(COUNT(O86:O105)=0,"",SUM(O86:O105))</f>
        <v/>
      </c>
      <c r="P106" s="78" t="str">
        <f aca="false">IF(COUNT(P86:P105)=0,"",SUM(P86:P105))</f>
        <v/>
      </c>
      <c r="Q106" s="78" t="str">
        <f aca="false">IF(COUNT(Q86:Q105)=0,"",SUM(Q86:Q105))</f>
        <v/>
      </c>
      <c r="R106" s="78" t="str">
        <f aca="false">IF(COUNT(R86:R105)=0,"",SUM(R86:R105))</f>
        <v/>
      </c>
      <c r="S106" s="78" t="str">
        <f aca="false">IF(COUNT(S86:S105)=0,"",SUM(S86:S105))</f>
        <v/>
      </c>
      <c r="T106" s="78" t="str">
        <f aca="false">IF(COUNT(T86:T105)=0,"",SUM(T86:T105))</f>
        <v/>
      </c>
    </row>
    <row r="107" customFormat="false" ht="15" hidden="false" customHeight="false" outlineLevel="0" collapsed="false">
      <c r="A107" s="69" t="s">
        <v>395</v>
      </c>
      <c r="B107" s="69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</row>
  </sheetData>
  <mergeCells count="83">
    <mergeCell ref="A2:J2"/>
    <mergeCell ref="A3:J3"/>
    <mergeCell ref="A4:J4"/>
    <mergeCell ref="A5:J5"/>
    <mergeCell ref="A6:J6"/>
    <mergeCell ref="A7:J7"/>
    <mergeCell ref="A8:J8"/>
    <mergeCell ref="A10:C10"/>
    <mergeCell ref="D10:J10"/>
    <mergeCell ref="A11:C11"/>
    <mergeCell ref="D11:J11"/>
    <mergeCell ref="A12:C12"/>
    <mergeCell ref="D12:J12"/>
    <mergeCell ref="A13:C13"/>
    <mergeCell ref="D13:J13"/>
    <mergeCell ref="A14:C14"/>
    <mergeCell ref="D14:J14"/>
    <mergeCell ref="G17:J17"/>
    <mergeCell ref="G18:J18"/>
    <mergeCell ref="G19:J19"/>
    <mergeCell ref="G20:J20"/>
    <mergeCell ref="A21:D21"/>
    <mergeCell ref="A22:J22"/>
    <mergeCell ref="A25:C25"/>
    <mergeCell ref="A26:C26"/>
    <mergeCell ref="E26:J26"/>
    <mergeCell ref="A27:C27"/>
    <mergeCell ref="E27:J27"/>
    <mergeCell ref="A28:C28"/>
    <mergeCell ref="A29:C29"/>
    <mergeCell ref="A30:C30"/>
    <mergeCell ref="E30:J30"/>
    <mergeCell ref="A31:J31"/>
    <mergeCell ref="A32:J32"/>
    <mergeCell ref="A35:C35"/>
    <mergeCell ref="E35:J35"/>
    <mergeCell ref="A36:C36"/>
    <mergeCell ref="E36:J36"/>
    <mergeCell ref="A37:C37"/>
    <mergeCell ref="E37:J37"/>
    <mergeCell ref="A38:C38"/>
    <mergeCell ref="E38:J38"/>
    <mergeCell ref="A39:C39"/>
    <mergeCell ref="A40:C40"/>
    <mergeCell ref="A41:C41"/>
    <mergeCell ref="A42:C42"/>
    <mergeCell ref="A47:G47"/>
    <mergeCell ref="A50:C50"/>
    <mergeCell ref="A51:C51"/>
    <mergeCell ref="A52:C52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2:C62"/>
    <mergeCell ref="A63:C63"/>
    <mergeCell ref="A64:C64"/>
    <mergeCell ref="A65:C65"/>
    <mergeCell ref="A66:C66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7:J77"/>
    <mergeCell ref="A79:J79"/>
    <mergeCell ref="A83:T83"/>
    <mergeCell ref="C84:E84"/>
    <mergeCell ref="F84:H84"/>
    <mergeCell ref="I84:K84"/>
    <mergeCell ref="L84:N84"/>
    <mergeCell ref="O84:Q84"/>
    <mergeCell ref="R84:T84"/>
    <mergeCell ref="A107:T107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T10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6"/>
    <col collapsed="false" customWidth="true" hidden="false" outlineLevel="0" max="2" min="2" style="0" width="22"/>
    <col collapsed="false" customWidth="true" hidden="false" outlineLevel="0" max="3" min="3" style="0" width="11"/>
    <col collapsed="false" customWidth="true" hidden="false" outlineLevel="0" max="4" min="4" style="0" width="14"/>
    <col collapsed="false" customWidth="true" hidden="false" outlineLevel="0" max="6" min="5" style="0" width="12"/>
    <col collapsed="false" customWidth="true" hidden="false" outlineLevel="0" max="7" min="7" style="0" width="14"/>
    <col collapsed="false" customWidth="true" hidden="false" outlineLevel="0" max="9" min="8" style="0" width="13"/>
    <col collapsed="false" customWidth="true" hidden="false" outlineLevel="0" max="10" min="10" style="0" width="26"/>
  </cols>
  <sheetData>
    <row r="1" customFormat="false" ht="16.15" hidden="false" customHeight="false" outlineLevel="0" collapsed="false">
      <c r="A1" s="3" t="s">
        <v>749</v>
      </c>
    </row>
    <row r="2" customFormat="false" ht="25.5" hidden="false" customHeight="true" outlineLevel="0" collapsed="false">
      <c r="A2" s="12" t="s">
        <v>251</v>
      </c>
      <c r="B2" s="12"/>
      <c r="C2" s="12"/>
      <c r="D2" s="12"/>
      <c r="E2" s="12"/>
      <c r="F2" s="12"/>
      <c r="G2" s="12"/>
      <c r="H2" s="12"/>
      <c r="I2" s="12"/>
      <c r="J2" s="12"/>
    </row>
    <row r="3" customFormat="false" ht="15" hidden="false" customHeight="true" outlineLevel="0" collapsed="false">
      <c r="A3" s="16" t="s">
        <v>750</v>
      </c>
      <c r="B3" s="16"/>
      <c r="C3" s="16"/>
      <c r="D3" s="16"/>
      <c r="E3" s="16"/>
      <c r="F3" s="16"/>
      <c r="G3" s="16"/>
      <c r="H3" s="16"/>
      <c r="I3" s="16"/>
      <c r="J3" s="16"/>
    </row>
    <row r="4" customFormat="false" ht="30" hidden="false" customHeight="true" outlineLevel="0" collapsed="false">
      <c r="A4" s="17" t="s">
        <v>77</v>
      </c>
      <c r="B4" s="17"/>
      <c r="C4" s="17"/>
      <c r="D4" s="17"/>
      <c r="E4" s="17"/>
      <c r="F4" s="17"/>
      <c r="G4" s="17"/>
      <c r="H4" s="17"/>
      <c r="I4" s="17"/>
      <c r="J4" s="17"/>
    </row>
    <row r="5" customFormat="false" ht="15" hidden="false" customHeight="true" outlineLevel="0" collapsed="false">
      <c r="A5" s="18" t="s">
        <v>17</v>
      </c>
      <c r="B5" s="18"/>
      <c r="C5" s="18"/>
      <c r="D5" s="18"/>
      <c r="E5" s="18"/>
      <c r="F5" s="18"/>
      <c r="G5" s="18"/>
      <c r="H5" s="18"/>
      <c r="I5" s="18"/>
      <c r="J5" s="18"/>
    </row>
    <row r="6" customFormat="false" ht="15" hidden="false" customHeight="true" outlineLevel="0" collapsed="false">
      <c r="A6" s="19" t="s">
        <v>78</v>
      </c>
      <c r="B6" s="19"/>
      <c r="C6" s="19"/>
      <c r="D6" s="19"/>
      <c r="E6" s="19"/>
      <c r="F6" s="19"/>
      <c r="G6" s="19"/>
      <c r="H6" s="19"/>
      <c r="I6" s="19"/>
      <c r="J6" s="19"/>
    </row>
    <row r="7" customFormat="false" ht="23.85" hidden="false" customHeight="true" outlineLevel="0" collapsed="false">
      <c r="A7" s="20" t="s">
        <v>751</v>
      </c>
      <c r="B7" s="20"/>
      <c r="C7" s="20"/>
      <c r="D7" s="20"/>
      <c r="E7" s="20"/>
      <c r="F7" s="20"/>
      <c r="G7" s="20"/>
      <c r="H7" s="20"/>
      <c r="I7" s="20"/>
      <c r="J7" s="20"/>
    </row>
    <row r="8" customFormat="false" ht="15" hidden="false" customHeight="true" outlineLevel="0" collapsed="false">
      <c r="A8" s="21" t="s">
        <v>254</v>
      </c>
      <c r="B8" s="21"/>
      <c r="C8" s="21"/>
      <c r="D8" s="21"/>
      <c r="E8" s="21"/>
      <c r="F8" s="21"/>
      <c r="G8" s="21"/>
      <c r="H8" s="21"/>
      <c r="I8" s="21"/>
      <c r="J8" s="21"/>
    </row>
    <row r="10" customFormat="false" ht="15" hidden="false" customHeight="true" outlineLevel="0" collapsed="false">
      <c r="A10" s="22" t="s">
        <v>255</v>
      </c>
      <c r="B10" s="22"/>
      <c r="C10" s="22"/>
      <c r="D10" s="23" t="s">
        <v>752</v>
      </c>
      <c r="E10" s="23"/>
      <c r="F10" s="23"/>
      <c r="G10" s="23"/>
      <c r="H10" s="23"/>
      <c r="I10" s="23"/>
      <c r="J10" s="23"/>
    </row>
    <row r="11" customFormat="false" ht="15" hidden="false" customHeight="true" outlineLevel="0" collapsed="false">
      <c r="A11" s="22" t="s">
        <v>257</v>
      </c>
      <c r="B11" s="22"/>
      <c r="C11" s="22"/>
      <c r="D11" s="23" t="s">
        <v>753</v>
      </c>
      <c r="E11" s="23"/>
      <c r="F11" s="23"/>
      <c r="G11" s="23"/>
      <c r="H11" s="23"/>
      <c r="I11" s="23"/>
      <c r="J11" s="23"/>
    </row>
    <row r="12" customFormat="false" ht="15" hidden="false" customHeight="true" outlineLevel="0" collapsed="false">
      <c r="A12" s="22" t="s">
        <v>259</v>
      </c>
      <c r="B12" s="22"/>
      <c r="C12" s="22"/>
      <c r="D12" s="86"/>
      <c r="E12" s="86"/>
      <c r="F12" s="86"/>
      <c r="G12" s="86"/>
      <c r="H12" s="86"/>
      <c r="I12" s="86"/>
      <c r="J12" s="86"/>
    </row>
    <row r="13" customFormat="false" ht="15" hidden="false" customHeight="true" outlineLevel="0" collapsed="false">
      <c r="A13" s="22" t="s">
        <v>261</v>
      </c>
      <c r="B13" s="22"/>
      <c r="C13" s="22"/>
      <c r="D13" s="24" t="n">
        <v>3134000</v>
      </c>
      <c r="E13" s="24"/>
      <c r="F13" s="24"/>
      <c r="G13" s="24"/>
      <c r="H13" s="24"/>
      <c r="I13" s="24"/>
      <c r="J13" s="24"/>
    </row>
    <row r="14" customFormat="false" ht="23.85" hidden="false" customHeight="true" outlineLevel="0" collapsed="false">
      <c r="A14" s="22" t="s">
        <v>262</v>
      </c>
      <c r="B14" s="22"/>
      <c r="C14" s="22"/>
      <c r="D14" s="22" t="s">
        <v>754</v>
      </c>
      <c r="E14" s="22"/>
      <c r="F14" s="22"/>
      <c r="G14" s="22"/>
      <c r="H14" s="22"/>
      <c r="I14" s="22"/>
      <c r="J14" s="22"/>
    </row>
    <row r="16" customFormat="false" ht="15" hidden="false" customHeight="false" outlineLevel="0" collapsed="false">
      <c r="A16" s="25" t="s">
        <v>264</v>
      </c>
    </row>
    <row r="17" customFormat="false" ht="22.35" hidden="false" customHeight="true" outlineLevel="0" collapsed="false">
      <c r="A17" s="26" t="s">
        <v>265</v>
      </c>
      <c r="B17" s="26" t="s">
        <v>266</v>
      </c>
      <c r="C17" s="26" t="s">
        <v>267</v>
      </c>
      <c r="D17" s="26" t="s">
        <v>268</v>
      </c>
      <c r="E17" s="26" t="s">
        <v>269</v>
      </c>
      <c r="F17" s="26" t="s">
        <v>270</v>
      </c>
      <c r="G17" s="26" t="s">
        <v>271</v>
      </c>
      <c r="H17" s="26"/>
      <c r="I17" s="26"/>
      <c r="J17" s="26"/>
    </row>
    <row r="18" customFormat="false" ht="19.4" hidden="false" customHeight="true" outlineLevel="0" collapsed="false">
      <c r="A18" s="27" t="s">
        <v>536</v>
      </c>
      <c r="B18" s="28" t="s">
        <v>404</v>
      </c>
      <c r="C18" s="28" t="s">
        <v>755</v>
      </c>
      <c r="D18" s="29" t="n">
        <v>2835</v>
      </c>
      <c r="E18" s="30" t="n">
        <f aca="false">IF(D18="","",D18*12)</f>
        <v>34020</v>
      </c>
      <c r="F18" s="31" t="n">
        <v>2.8</v>
      </c>
      <c r="G18" s="32" t="s">
        <v>756</v>
      </c>
      <c r="H18" s="32"/>
      <c r="I18" s="32"/>
      <c r="J18" s="32"/>
    </row>
    <row r="19" customFormat="false" ht="15" hidden="false" customHeight="true" outlineLevel="0" collapsed="false">
      <c r="A19" s="27" t="s">
        <v>757</v>
      </c>
      <c r="B19" s="28" t="s">
        <v>758</v>
      </c>
      <c r="C19" s="28" t="s">
        <v>759</v>
      </c>
      <c r="D19" s="80" t="n">
        <v>3119</v>
      </c>
      <c r="E19" s="30" t="n">
        <f aca="false">IF(D19="","",D19*12)</f>
        <v>37428</v>
      </c>
      <c r="F19" s="31" t="n">
        <v>5</v>
      </c>
      <c r="G19" s="32" t="s">
        <v>760</v>
      </c>
      <c r="H19" s="32"/>
      <c r="I19" s="32"/>
      <c r="J19" s="32"/>
    </row>
    <row r="20" customFormat="false" ht="23.85" hidden="false" customHeight="true" outlineLevel="0" collapsed="false">
      <c r="A20" s="27" t="s">
        <v>761</v>
      </c>
      <c r="B20" s="28" t="s">
        <v>444</v>
      </c>
      <c r="C20" s="28" t="s">
        <v>444</v>
      </c>
      <c r="D20" s="33"/>
      <c r="E20" s="30" t="str">
        <f aca="false">IF(D20="","",D20*12)</f>
        <v/>
      </c>
      <c r="F20" s="31" t="n">
        <v>2.2</v>
      </c>
      <c r="G20" s="32" t="s">
        <v>762</v>
      </c>
      <c r="H20" s="32"/>
      <c r="I20" s="32"/>
      <c r="J20" s="32"/>
    </row>
    <row r="21" customFormat="false" ht="15" hidden="false" customHeight="false" outlineLevel="0" collapsed="false">
      <c r="A21" s="34" t="s">
        <v>284</v>
      </c>
      <c r="B21" s="34"/>
      <c r="C21" s="34"/>
      <c r="D21" s="34"/>
      <c r="E21" s="35" t="n">
        <f aca="false">IF(SUMPRODUCT(E18:E20,F18:F20)=0,"",SUMPRODUCT(E18:E20,F18:F20))</f>
        <v>282396</v>
      </c>
      <c r="F21" s="36"/>
      <c r="G21" s="36"/>
      <c r="H21" s="36"/>
      <c r="I21" s="36"/>
      <c r="J21" s="36"/>
    </row>
    <row r="22" customFormat="false" ht="15" hidden="false" customHeight="false" outlineLevel="0" collapsed="false">
      <c r="A22" s="81" t="s">
        <v>483</v>
      </c>
      <c r="B22" s="81"/>
      <c r="C22" s="81"/>
      <c r="D22" s="81"/>
      <c r="E22" s="81"/>
      <c r="F22" s="81"/>
      <c r="G22" s="81"/>
      <c r="H22" s="81"/>
      <c r="I22" s="81"/>
      <c r="J22" s="81"/>
    </row>
    <row r="24" customFormat="false" ht="15" hidden="false" customHeight="false" outlineLevel="0" collapsed="false">
      <c r="A24" s="25" t="s">
        <v>286</v>
      </c>
    </row>
    <row r="25" customFormat="false" ht="15" hidden="false" customHeight="true" outlineLevel="0" collapsed="false">
      <c r="A25" s="22" t="s">
        <v>287</v>
      </c>
      <c r="B25" s="22"/>
      <c r="C25" s="22"/>
      <c r="D25" s="35" t="n">
        <v>34020</v>
      </c>
      <c r="E25" s="36"/>
      <c r="F25" s="36"/>
      <c r="G25" s="36"/>
      <c r="H25" s="36"/>
      <c r="I25" s="36"/>
      <c r="J25" s="36"/>
    </row>
    <row r="26" customFormat="false" ht="15" hidden="false" customHeight="true" outlineLevel="0" collapsed="false">
      <c r="A26" s="22" t="s">
        <v>288</v>
      </c>
      <c r="B26" s="22"/>
      <c r="C26" s="22"/>
      <c r="D26" s="38" t="n">
        <v>0.01085513720485</v>
      </c>
      <c r="E26" s="39" t="s">
        <v>289</v>
      </c>
      <c r="F26" s="39"/>
      <c r="G26" s="39"/>
      <c r="H26" s="39"/>
      <c r="I26" s="39"/>
      <c r="J26" s="39"/>
    </row>
    <row r="27" customFormat="false" ht="23.85" hidden="false" customHeight="true" outlineLevel="0" collapsed="false">
      <c r="A27" s="22" t="s">
        <v>763</v>
      </c>
      <c r="B27" s="22"/>
      <c r="C27" s="22"/>
      <c r="D27" s="35" t="n">
        <v>6953.56</v>
      </c>
      <c r="E27" s="39" t="s">
        <v>291</v>
      </c>
      <c r="F27" s="39"/>
      <c r="G27" s="39"/>
      <c r="H27" s="39"/>
      <c r="I27" s="39"/>
      <c r="J27" s="39"/>
    </row>
    <row r="28" customFormat="false" ht="15" hidden="false" customHeight="true" outlineLevel="0" collapsed="false">
      <c r="A28" s="22" t="s">
        <v>292</v>
      </c>
      <c r="B28" s="22"/>
      <c r="C28" s="22"/>
      <c r="D28" s="35" t="n">
        <v>0</v>
      </c>
      <c r="E28" s="36"/>
      <c r="F28" s="36"/>
      <c r="G28" s="36"/>
      <c r="H28" s="36"/>
      <c r="I28" s="36"/>
      <c r="J28" s="36"/>
    </row>
    <row r="29" customFormat="false" ht="15" hidden="false" customHeight="true" outlineLevel="0" collapsed="false">
      <c r="A29" s="22" t="s">
        <v>293</v>
      </c>
      <c r="B29" s="22"/>
      <c r="C29" s="22"/>
      <c r="D29" s="35" t="n">
        <v>40973.56</v>
      </c>
      <c r="E29" s="36"/>
      <c r="F29" s="36"/>
      <c r="G29" s="36"/>
      <c r="H29" s="36"/>
      <c r="I29" s="36"/>
      <c r="J29" s="36"/>
    </row>
    <row r="30" customFormat="false" ht="15" hidden="false" customHeight="true" outlineLevel="0" collapsed="false">
      <c r="A30" s="22" t="s">
        <v>294</v>
      </c>
      <c r="B30" s="22"/>
      <c r="C30" s="22"/>
      <c r="D30" s="38" t="n">
        <v>0.0130738864071474</v>
      </c>
      <c r="E30" s="39" t="s">
        <v>295</v>
      </c>
      <c r="F30" s="39"/>
      <c r="G30" s="39"/>
      <c r="H30" s="39"/>
      <c r="I30" s="39"/>
      <c r="J30" s="39"/>
    </row>
    <row r="31" customFormat="false" ht="27.75" hidden="false" customHeight="true" outlineLevel="0" collapsed="false">
      <c r="A31" s="40" t="s">
        <v>764</v>
      </c>
      <c r="B31" s="40"/>
      <c r="C31" s="40"/>
      <c r="D31" s="40"/>
      <c r="E31" s="40"/>
      <c r="F31" s="40"/>
      <c r="G31" s="40"/>
      <c r="H31" s="40"/>
      <c r="I31" s="40"/>
      <c r="J31" s="40"/>
    </row>
    <row r="32" customFormat="false" ht="15" hidden="false" customHeight="false" outlineLevel="0" collapsed="false">
      <c r="A32" s="41" t="s">
        <v>765</v>
      </c>
      <c r="B32" s="41"/>
      <c r="C32" s="41"/>
      <c r="D32" s="41"/>
      <c r="E32" s="41"/>
      <c r="F32" s="41"/>
      <c r="G32" s="41"/>
      <c r="H32" s="41"/>
      <c r="I32" s="41"/>
      <c r="J32" s="41"/>
    </row>
    <row r="34" customFormat="false" ht="15" hidden="false" customHeight="false" outlineLevel="0" collapsed="false">
      <c r="A34" s="25" t="s">
        <v>298</v>
      </c>
    </row>
    <row r="35" customFormat="false" ht="15" hidden="false" customHeight="true" outlineLevel="0" collapsed="false">
      <c r="A35" s="22" t="s">
        <v>299</v>
      </c>
      <c r="B35" s="22"/>
      <c r="C35" s="22"/>
      <c r="D35" s="42" t="n">
        <v>0</v>
      </c>
      <c r="E35" s="43" t="s">
        <v>300</v>
      </c>
      <c r="F35" s="43"/>
      <c r="G35" s="43"/>
      <c r="H35" s="43"/>
      <c r="I35" s="43"/>
      <c r="J35" s="43"/>
    </row>
    <row r="36" customFormat="false" ht="15" hidden="false" customHeight="true" outlineLevel="0" collapsed="false">
      <c r="A36" s="22" t="s">
        <v>301</v>
      </c>
      <c r="B36" s="22"/>
      <c r="C36" s="22"/>
      <c r="D36" s="34" t="s">
        <v>302</v>
      </c>
      <c r="E36" s="43" t="s">
        <v>303</v>
      </c>
      <c r="F36" s="43"/>
      <c r="G36" s="43"/>
      <c r="H36" s="43"/>
      <c r="I36" s="43"/>
      <c r="J36" s="43"/>
    </row>
    <row r="37" customFormat="false" ht="15" hidden="false" customHeight="true" outlineLevel="0" collapsed="false">
      <c r="A37" s="22" t="s">
        <v>304</v>
      </c>
      <c r="B37" s="22"/>
      <c r="C37" s="22"/>
      <c r="D37" s="44"/>
      <c r="E37" s="43" t="s">
        <v>305</v>
      </c>
      <c r="F37" s="43"/>
      <c r="G37" s="43"/>
      <c r="H37" s="43"/>
      <c r="I37" s="43"/>
      <c r="J37" s="43"/>
    </row>
    <row r="38" customFormat="false" ht="23.85" hidden="false" customHeight="true" outlineLevel="0" collapsed="false">
      <c r="A38" s="22" t="s">
        <v>306</v>
      </c>
      <c r="B38" s="22"/>
      <c r="C38" s="22"/>
      <c r="D38" s="45" t="str">
        <f aca="false">IF(OR($D$35="",E18=""),"",IF($D$35=0,"— (no % rent)",E18/$D$35))</f>
        <v>— (no % rent)</v>
      </c>
      <c r="E38" s="43" t="s">
        <v>307</v>
      </c>
      <c r="F38" s="43"/>
      <c r="G38" s="43"/>
      <c r="H38" s="43"/>
      <c r="I38" s="43"/>
      <c r="J38" s="43"/>
    </row>
    <row r="39" customFormat="false" ht="23.85" hidden="false" customHeight="true" outlineLevel="0" collapsed="false">
      <c r="A39" s="22" t="s">
        <v>308</v>
      </c>
      <c r="B39" s="22"/>
      <c r="C39" s="22"/>
      <c r="D39" s="45" t="str">
        <f aca="false">IF($D$35="","",IF($D$35=0,"— (no % rent)",IF($D$37&lt;&gt;"",$D$37,IF(E18="","",E18/$D$35))))</f>
        <v>— (no % rent)</v>
      </c>
      <c r="E39" s="36"/>
      <c r="F39" s="36"/>
      <c r="G39" s="36"/>
      <c r="H39" s="36"/>
      <c r="I39" s="36"/>
      <c r="J39" s="36"/>
    </row>
    <row r="40" customFormat="false" ht="15" hidden="false" customHeight="true" outlineLevel="0" collapsed="false">
      <c r="A40" s="22" t="s">
        <v>309</v>
      </c>
      <c r="B40" s="22"/>
      <c r="C40" s="22"/>
      <c r="D40" s="45" t="n">
        <f aca="false">IF(OR($D$35="",D13=""),"",IF($D$35=0,0,IF($D$39="","",MAX(0,D13-$D$39)*$D$35)))</f>
        <v>0</v>
      </c>
      <c r="E40" s="36"/>
      <c r="F40" s="36"/>
      <c r="G40" s="36"/>
      <c r="H40" s="36"/>
      <c r="I40" s="36"/>
      <c r="J40" s="36"/>
    </row>
    <row r="41" customFormat="false" ht="15" hidden="false" customHeight="true" outlineLevel="0" collapsed="false">
      <c r="A41" s="22" t="s">
        <v>310</v>
      </c>
      <c r="B41" s="22"/>
      <c r="C41" s="22"/>
      <c r="D41" s="45" t="n">
        <f aca="false">IF(OR(D40="",E18=""),"",E18+D40)</f>
        <v>34020</v>
      </c>
      <c r="E41" s="36"/>
      <c r="F41" s="36"/>
      <c r="G41" s="36"/>
      <c r="H41" s="36"/>
      <c r="I41" s="36"/>
      <c r="J41" s="36"/>
    </row>
    <row r="42" customFormat="false" ht="15" hidden="false" customHeight="true" outlineLevel="0" collapsed="false">
      <c r="A42" s="22" t="s">
        <v>311</v>
      </c>
      <c r="B42" s="22"/>
      <c r="C42" s="22"/>
      <c r="D42" s="46" t="n">
        <f aca="false">IF(OR(D41="",D13=""),"",D41/D13)</f>
        <v>0.01085513720485</v>
      </c>
      <c r="E42" s="36"/>
      <c r="F42" s="36"/>
      <c r="G42" s="36"/>
      <c r="H42" s="36"/>
      <c r="I42" s="36"/>
      <c r="J42" s="36"/>
    </row>
    <row r="44" customFormat="false" ht="15" hidden="false" customHeight="false" outlineLevel="0" collapsed="false">
      <c r="A44" s="25" t="s">
        <v>312</v>
      </c>
    </row>
    <row r="45" customFormat="false" ht="22.35" hidden="false" customHeight="false" outlineLevel="0" collapsed="false">
      <c r="A45" s="26" t="s">
        <v>313</v>
      </c>
      <c r="B45" s="26" t="s">
        <v>314</v>
      </c>
      <c r="C45" s="26" t="s">
        <v>315</v>
      </c>
      <c r="D45" s="26" t="s">
        <v>316</v>
      </c>
      <c r="E45" s="26" t="s">
        <v>317</v>
      </c>
      <c r="F45" s="26" t="s">
        <v>318</v>
      </c>
      <c r="G45" s="26" t="s">
        <v>319</v>
      </c>
      <c r="H45" s="26" t="s">
        <v>269</v>
      </c>
      <c r="I45" s="26" t="s">
        <v>320</v>
      </c>
      <c r="J45" s="26" t="s">
        <v>321</v>
      </c>
    </row>
    <row r="46" customFormat="false" ht="22.35" hidden="false" customHeight="false" outlineLevel="0" collapsed="false">
      <c r="A46" s="48"/>
      <c r="B46" s="47" t="s">
        <v>422</v>
      </c>
      <c r="C46" s="48"/>
      <c r="D46" s="48"/>
      <c r="E46" s="48"/>
      <c r="F46" s="48"/>
      <c r="G46" s="48"/>
      <c r="H46" s="48"/>
      <c r="I46" s="48"/>
      <c r="J46" s="47" t="s">
        <v>423</v>
      </c>
    </row>
    <row r="47" customFormat="false" ht="15" hidden="false" customHeight="false" outlineLevel="0" collapsed="false">
      <c r="A47" s="52" t="s">
        <v>344</v>
      </c>
      <c r="B47" s="52"/>
      <c r="C47" s="52"/>
      <c r="D47" s="52"/>
      <c r="E47" s="52"/>
      <c r="F47" s="52"/>
      <c r="G47" s="52"/>
      <c r="H47" s="53" t="str">
        <f aca="false">IF(COUNT(H46:H46)=0,"",AVERAGE(H46:H46))</f>
        <v/>
      </c>
      <c r="I47" s="52" t="str">
        <f aca="false">IF(COUNT(H46:H46)=0,"",TEXT(MIN(H46:H46),"$#,##0")&amp;" – "&amp;TEXT(MAX(H46:H46),"$#,##0"))</f>
        <v/>
      </c>
      <c r="J47" s="36"/>
    </row>
    <row r="49" customFormat="false" ht="15" hidden="false" customHeight="false" outlineLevel="0" collapsed="false">
      <c r="A49" s="25" t="s">
        <v>345</v>
      </c>
    </row>
    <row r="50" customFormat="false" ht="53.7" hidden="false" customHeight="true" outlineLevel="0" collapsed="false">
      <c r="A50" s="26" t="s">
        <v>346</v>
      </c>
      <c r="B50" s="26"/>
      <c r="C50" s="26"/>
      <c r="D50" s="26" t="s">
        <v>347</v>
      </c>
      <c r="E50" s="26" t="s">
        <v>348</v>
      </c>
      <c r="F50" s="26" t="s">
        <v>349</v>
      </c>
      <c r="G50" s="26" t="s">
        <v>350</v>
      </c>
      <c r="H50" s="54" t="s">
        <v>351</v>
      </c>
    </row>
    <row r="51" customFormat="false" ht="68.65" hidden="false" customHeight="true" outlineLevel="0" collapsed="false">
      <c r="A51" s="22" t="s">
        <v>352</v>
      </c>
      <c r="B51" s="22"/>
      <c r="C51" s="22"/>
      <c r="D51" s="55" t="s">
        <v>353</v>
      </c>
      <c r="E51" s="56"/>
      <c r="F51" s="56"/>
      <c r="G51" s="56"/>
      <c r="H51" s="56"/>
    </row>
    <row r="52" customFormat="false" ht="15" hidden="false" customHeight="true" outlineLevel="0" collapsed="false">
      <c r="A52" s="22" t="s">
        <v>354</v>
      </c>
      <c r="B52" s="22"/>
      <c r="C52" s="22"/>
      <c r="D52" s="57" t="n">
        <v>34020</v>
      </c>
      <c r="E52" s="57"/>
      <c r="F52" s="57"/>
      <c r="G52" s="57"/>
      <c r="H52" s="57"/>
    </row>
    <row r="53" customFormat="false" ht="15" hidden="false" customHeight="true" outlineLevel="0" collapsed="false">
      <c r="A53" s="22" t="s">
        <v>355</v>
      </c>
      <c r="B53" s="22"/>
      <c r="C53" s="22"/>
      <c r="D53" s="82" t="n">
        <v>0.02</v>
      </c>
      <c r="E53" s="58"/>
      <c r="F53" s="58"/>
      <c r="G53" s="58"/>
      <c r="H53" s="58"/>
    </row>
    <row r="54" customFormat="false" ht="15" hidden="false" customHeight="true" outlineLevel="0" collapsed="false">
      <c r="A54" s="22" t="s">
        <v>356</v>
      </c>
      <c r="B54" s="22"/>
      <c r="C54" s="22"/>
      <c r="D54" s="56" t="n">
        <v>5</v>
      </c>
      <c r="E54" s="56"/>
      <c r="F54" s="56"/>
      <c r="G54" s="56"/>
      <c r="H54" s="56"/>
    </row>
    <row r="55" customFormat="false" ht="15" hidden="false" customHeight="true" outlineLevel="0" collapsed="false">
      <c r="A55" s="22" t="s">
        <v>357</v>
      </c>
      <c r="B55" s="22"/>
      <c r="C55" s="22"/>
      <c r="D55" s="59" t="n">
        <v>20</v>
      </c>
      <c r="E55" s="59"/>
      <c r="F55" s="59"/>
      <c r="G55" s="59"/>
      <c r="H55" s="59"/>
    </row>
    <row r="56" customFormat="false" ht="15" hidden="false" customHeight="true" outlineLevel="0" collapsed="false">
      <c r="A56" s="22" t="s">
        <v>358</v>
      </c>
      <c r="B56" s="22"/>
      <c r="C56" s="22"/>
      <c r="D56" s="60" t="n">
        <f aca="false">IF(OR(D52="",E18=""),"",D52-E18)</f>
        <v>0</v>
      </c>
      <c r="E56" s="60" t="str">
        <f aca="false">IF(OR(E52="",E18=""),"",E52-E18)</f>
        <v/>
      </c>
      <c r="F56" s="60" t="str">
        <f aca="false">IF(OR(F52="",E18=""),"",F52-E18)</f>
        <v/>
      </c>
      <c r="G56" s="60" t="str">
        <f aca="false">IF(OR(G52="",E18=""),"",G52-E18)</f>
        <v/>
      </c>
      <c r="H56" s="60" t="str">
        <f aca="false">IF(OR(H52="",E18=""),"",H52-E18)</f>
        <v/>
      </c>
    </row>
    <row r="57" customFormat="false" ht="15" hidden="false" customHeight="true" outlineLevel="0" collapsed="false">
      <c r="A57" s="22" t="s">
        <v>359</v>
      </c>
      <c r="B57" s="22"/>
      <c r="C57" s="22"/>
      <c r="D57" s="61" t="n">
        <f aca="false">IF(OR(D52="",E18=""),"",(D52-E18)/E18)</f>
        <v>0</v>
      </c>
      <c r="E57" s="61" t="str">
        <f aca="false">IF(OR(E52="",E18=""),"",(E52-E18)/E18)</f>
        <v/>
      </c>
      <c r="F57" s="61" t="str">
        <f aca="false">IF(OR(F52="",E18=""),"",(F52-E18)/E18)</f>
        <v/>
      </c>
      <c r="G57" s="61" t="str">
        <f aca="false">IF(OR(G52="",E18=""),"",(G52-E18)/E18)</f>
        <v/>
      </c>
      <c r="H57" s="61" t="str">
        <f aca="false">IF(OR(H52="",E18=""),"",(H52-E18)/E18)</f>
        <v/>
      </c>
    </row>
    <row r="58" customFormat="false" ht="15" hidden="false" customHeight="true" outlineLevel="0" collapsed="false">
      <c r="A58" s="22" t="s">
        <v>360</v>
      </c>
      <c r="B58" s="22"/>
      <c r="C58" s="22"/>
      <c r="D58" s="62" t="n">
        <f aca="false">IF(OR(D52="",D13=""),"",D52/D13)</f>
        <v>0.01085513720485</v>
      </c>
      <c r="E58" s="62" t="str">
        <f aca="false">IF(OR(E52="",D13=""),"",E52/D13)</f>
        <v/>
      </c>
      <c r="F58" s="62" t="str">
        <f aca="false">IF(OR(F52="",D13=""),"",F52/D13)</f>
        <v/>
      </c>
      <c r="G58" s="62" t="str">
        <f aca="false">IF(OR(G52="",D13=""),"",G52/D13)</f>
        <v/>
      </c>
      <c r="H58" s="62" t="str">
        <f aca="false">IF(OR(H52="",D13=""),"",H52/D13)</f>
        <v/>
      </c>
    </row>
    <row r="59" customFormat="false" ht="15" hidden="false" customHeight="true" outlineLevel="0" collapsed="false">
      <c r="A59" s="22" t="s">
        <v>361</v>
      </c>
      <c r="B59" s="22"/>
      <c r="C59" s="22"/>
      <c r="D59" s="61" t="str">
        <f aca="false">IF(OR(D52="",H47=""),"",(D52-H47)/H47)</f>
        <v/>
      </c>
      <c r="E59" s="61" t="str">
        <f aca="false">IF(OR(E52="",H47=""),"",(E52-H47)/H47)</f>
        <v/>
      </c>
      <c r="F59" s="61" t="str">
        <f aca="false">IF(OR(F52="",H47=""),"",(F52-H47)/H47)</f>
        <v/>
      </c>
      <c r="G59" s="61" t="str">
        <f aca="false">IF(OR(G52="",H47=""),"",(G52-H47)/H47)</f>
        <v/>
      </c>
      <c r="H59" s="61" t="str">
        <f aca="false">IF(OR(H52="",H47=""),"",(H52-H47)/H47)</f>
        <v/>
      </c>
    </row>
    <row r="60" customFormat="false" ht="15" hidden="false" customHeight="true" outlineLevel="0" collapsed="false">
      <c r="A60" s="22" t="s">
        <v>362</v>
      </c>
      <c r="B60" s="22"/>
      <c r="C60" s="22"/>
      <c r="D60" s="63" t="n">
        <f aca="true">IF(D52="","",SUMPRODUCT(D52*(1+IF(D53="",0,D53))^ROUNDDOWN((ROW(INDIRECT("1:10"))-1)/IF(D54="",5,D54),0)))</f>
        <v>343602</v>
      </c>
      <c r="E60" s="63" t="str">
        <f aca="true">IF(E52="","",SUMPRODUCT(E52*(1+IF(E53="",0,E53))^ROUNDDOWN((ROW(INDIRECT("1:10"))-1)/IF(E54="",5,E54),0)))</f>
        <v/>
      </c>
      <c r="F60" s="63" t="str">
        <f aca="true">IF(F52="","",SUMPRODUCT(F52*(1+IF(F53="",0,F53))^ROUNDDOWN((ROW(INDIRECT("1:10"))-1)/IF(F54="",5,F54),0)))</f>
        <v/>
      </c>
      <c r="G60" s="63" t="str">
        <f aca="true">IF(G52="","",SUMPRODUCT(G52*(1+IF(G53="",0,G53))^ROUNDDOWN((ROW(INDIRECT("1:10"))-1)/IF(G54="",5,G54),0)))</f>
        <v/>
      </c>
      <c r="H60" s="63" t="str">
        <f aca="true">IF(H52="","",SUMPRODUCT(H52*(1+IF(H53="",0,H53))^ROUNDDOWN((ROW(INDIRECT("1:10"))-1)/IF(H54="",5,H54),0)))</f>
        <v/>
      </c>
    </row>
    <row r="61" customFormat="false" ht="15" hidden="false" customHeight="true" outlineLevel="0" collapsed="false">
      <c r="A61" s="22" t="s">
        <v>363</v>
      </c>
      <c r="B61" s="22"/>
      <c r="C61" s="22"/>
      <c r="D61" s="60" t="n">
        <f aca="false">IF(OR(D60="",E21=""),"",D60-E21)</f>
        <v>61206</v>
      </c>
      <c r="E61" s="60" t="str">
        <f aca="false">IF(OR(E60="",E21=""),"",E60-E21)</f>
        <v/>
      </c>
      <c r="F61" s="60" t="str">
        <f aca="false">IF(OR(F60="",E21=""),"",F60-E21)</f>
        <v/>
      </c>
      <c r="G61" s="60" t="str">
        <f aca="false">IF(OR(G60="",E21=""),"",G60-E21)</f>
        <v/>
      </c>
      <c r="H61" s="60" t="str">
        <f aca="false">IF(OR(H60="",E21=""),"",H60-E21)</f>
        <v/>
      </c>
    </row>
    <row r="62" customFormat="false" ht="23.85" hidden="false" customHeight="true" outlineLevel="0" collapsed="false">
      <c r="A62" s="22" t="s">
        <v>364</v>
      </c>
      <c r="B62" s="22"/>
      <c r="C62" s="22"/>
      <c r="D62" s="58"/>
      <c r="E62" s="58"/>
      <c r="F62" s="58"/>
      <c r="G62" s="58"/>
      <c r="H62" s="58"/>
    </row>
    <row r="63" customFormat="false" ht="23.85" hidden="false" customHeight="true" outlineLevel="0" collapsed="false">
      <c r="A63" s="22" t="s">
        <v>365</v>
      </c>
      <c r="B63" s="22"/>
      <c r="C63" s="22"/>
      <c r="D63" s="57"/>
      <c r="E63" s="57"/>
      <c r="F63" s="57"/>
      <c r="G63" s="57"/>
      <c r="H63" s="57"/>
    </row>
    <row r="64" customFormat="false" ht="15" hidden="false" customHeight="true" outlineLevel="0" collapsed="false">
      <c r="A64" s="22" t="s">
        <v>366</v>
      </c>
      <c r="B64" s="22"/>
      <c r="C64" s="22"/>
      <c r="D64" s="63" t="str">
        <f aca="false">IF(OR(D52="",AND(D62="",$D$35="")),"",IF(IF(D62="",IF($D$35="",0,$D$35),D62)=0,"— (% rent removed)",IF(D63&lt;&gt;"",D63,IF($D$37&lt;&gt;"",$D$37,D52/IF(D62="",IF($D$35="",0,$D$35),D62)))))</f>
        <v>— (% rent removed)</v>
      </c>
      <c r="E64" s="63" t="str">
        <f aca="false">IF(OR(E52="",AND(E62="",$D$35="")),"",IF(IF(E62="",IF($D$35="",0,$D$35),E62)=0,"— (% rent removed)",IF(E63&lt;&gt;"",E63,IF($D$37&lt;&gt;"",$D$37,E52/IF(E62="",IF($D$35="",0,$D$35),E62)))))</f>
        <v/>
      </c>
      <c r="F64" s="63" t="str">
        <f aca="false">IF(OR(F52="",AND(F62="",$D$35="")),"",IF(IF(F62="",IF($D$35="",0,$D$35),F62)=0,"— (% rent removed)",IF(F63&lt;&gt;"",F63,IF($D$37&lt;&gt;"",$D$37,F52/IF(F62="",IF($D$35="",0,$D$35),F62)))))</f>
        <v/>
      </c>
      <c r="G64" s="63" t="str">
        <f aca="false">IF(OR(G52="",AND(G62="",$D$35="")),"",IF(IF(G62="",IF($D$35="",0,$D$35),G62)=0,"— (% rent removed)",IF(G63&lt;&gt;"",G63,IF($D$37&lt;&gt;"",$D$37,G52/IF(G62="",IF($D$35="",0,$D$35),G62)))))</f>
        <v/>
      </c>
      <c r="H64" s="63" t="str">
        <f aca="false">IF(OR(H52="",AND(H62="",$D$35="")),"",IF(IF(H62="",IF($D$35="",0,$D$35),H62)=0,"— (% rent removed)",IF(H63&lt;&gt;"",H63,IF($D$37&lt;&gt;"",$D$37,H52/IF(H62="",IF($D$35="",0,$D$35),H62)))))</f>
        <v/>
      </c>
    </row>
    <row r="65" customFormat="false" ht="15" hidden="false" customHeight="true" outlineLevel="0" collapsed="false">
      <c r="A65" s="22" t="s">
        <v>367</v>
      </c>
      <c r="B65" s="22"/>
      <c r="C65" s="22"/>
      <c r="D65" s="63" t="n">
        <f aca="false">IF(OR(D52="",AND(D62="",$D$35=""),D13=""),"",IF(IF(D62="",IF($D$35="",0,$D$35),D62)=0,0,MAX(0,D13-D64)*IF(D62="",IF($D$35="",0,$D$35),D62)))</f>
        <v>0</v>
      </c>
      <c r="E65" s="63" t="str">
        <f aca="false">IF(OR(E52="",AND(E62="",$D$35=""),D13=""),"",IF(IF(E62="",IF($D$35="",0,$D$35),E62)=0,0,MAX(0,D13-E64)*IF(E62="",IF($D$35="",0,$D$35),E62)))</f>
        <v/>
      </c>
      <c r="F65" s="63" t="str">
        <f aca="false">IF(OR(F52="",AND(F62="",$D$35=""),D13=""),"",IF(IF(F62="",IF($D$35="",0,$D$35),F62)=0,0,MAX(0,D13-F64)*IF(F62="",IF($D$35="",0,$D$35),F62)))</f>
        <v/>
      </c>
      <c r="G65" s="63" t="str">
        <f aca="false">IF(OR(G52="",AND(G62="",$D$35=""),D13=""),"",IF(IF(G62="",IF($D$35="",0,$D$35),G62)=0,0,MAX(0,D13-G64)*IF(G62="",IF($D$35="",0,$D$35),G62)))</f>
        <v/>
      </c>
      <c r="H65" s="63" t="str">
        <f aca="false">IF(OR(H52="",AND(H62="",$D$35=""),D13=""),"",IF(IF(H62="",IF($D$35="",0,$D$35),H62)=0,0,MAX(0,D13-H64)*IF(H62="",IF($D$35="",0,$D$35),H62)))</f>
        <v/>
      </c>
    </row>
    <row r="66" customFormat="false" ht="15" hidden="false" customHeight="true" outlineLevel="0" collapsed="false">
      <c r="A66" s="22" t="s">
        <v>368</v>
      </c>
      <c r="B66" s="22"/>
      <c r="C66" s="22"/>
      <c r="D66" s="63" t="n">
        <f aca="false">IF(OR(D52="",D65=""),"",D52+D65)</f>
        <v>34020</v>
      </c>
      <c r="E66" s="63" t="str">
        <f aca="false">IF(OR(E52="",E65=""),"",E52+E65)</f>
        <v/>
      </c>
      <c r="F66" s="63" t="str">
        <f aca="false">IF(OR(F52="",F65=""),"",F52+F65)</f>
        <v/>
      </c>
      <c r="G66" s="63" t="str">
        <f aca="false">IF(OR(G52="",G65=""),"",G52+G65)</f>
        <v/>
      </c>
      <c r="H66" s="63" t="str">
        <f aca="false">IF(OR(H52="",H65=""),"",H52+H65)</f>
        <v/>
      </c>
    </row>
    <row r="67" customFormat="false" ht="15" hidden="false" customHeight="true" outlineLevel="0" collapsed="false">
      <c r="A67" s="22" t="s">
        <v>369</v>
      </c>
      <c r="B67" s="22"/>
      <c r="C67" s="22"/>
      <c r="D67" s="62" t="n">
        <f aca="false">IF(OR(D66="",D13=""),"",D66/D13)</f>
        <v>0.01085513720485</v>
      </c>
      <c r="E67" s="62" t="str">
        <f aca="false">IF(OR(E66="",D13=""),"",E66/D13)</f>
        <v/>
      </c>
      <c r="F67" s="62" t="str">
        <f aca="false">IF(OR(F66="",D13=""),"",F66/D13)</f>
        <v/>
      </c>
      <c r="G67" s="62" t="str">
        <f aca="false">IF(OR(G66="",D13=""),"",G66/D13)</f>
        <v/>
      </c>
      <c r="H67" s="62" t="str">
        <f aca="false">IF(OR(H66="",D13=""),"",H66/D13)</f>
        <v/>
      </c>
    </row>
    <row r="68" customFormat="false" ht="23.85" hidden="false" customHeight="true" outlineLevel="0" collapsed="false">
      <c r="A68" s="22" t="s">
        <v>370</v>
      </c>
      <c r="B68" s="22"/>
      <c r="C68" s="22"/>
      <c r="D68" s="64" t="n">
        <f aca="false">IF(D66="","",(1142802.57-D66)/3125726.1)</f>
        <v>0.354728000639595</v>
      </c>
      <c r="E68" s="64" t="str">
        <f aca="false">IF(E66="","",(1142802.57-E66)/3125726.1)</f>
        <v/>
      </c>
      <c r="F68" s="64" t="str">
        <f aca="false">IF(F66="","",(1142802.57-F66)/3125726.1)</f>
        <v/>
      </c>
      <c r="G68" s="64" t="str">
        <f aca="false">IF(G66="","",(1142802.57-G66)/3125726.1)</f>
        <v/>
      </c>
      <c r="H68" s="64" t="str">
        <f aca="false">IF(H66="","",(1142802.57-H66)/3125726.1)</f>
        <v/>
      </c>
    </row>
    <row r="69" customFormat="false" ht="15" hidden="false" customHeight="true" outlineLevel="0" collapsed="false">
      <c r="A69" s="22" t="s">
        <v>371</v>
      </c>
      <c r="B69" s="22"/>
      <c r="C69" s="22"/>
      <c r="D69" s="63" t="n">
        <f aca="true">IF(OR(D52="",AND(D62="",$D$35=""),D13=""),"",IF(IF(D62="",IF($D$35="",0,$D$35),D62)=0,0,SUMPRODUCT(((D13*1.02^(ROW(INDIRECT("1:10"))-1))-(IF(D63&lt;&gt;"",D63,IF($D$37&lt;&gt;"",$D$37,(D52*(1+IF(D53="",0,D53))^ROUNDDOWN((ROW(INDIRECT("1:10"))-1)/IF(D54="",5,D54),0))/IF(D62="",IF($D$35="",0,$D$35),D62))))&gt;0)*((D13*1.02^(ROW(INDIRECT("1:10"))-1))-(IF(D63&lt;&gt;"",D63,IF($D$37&lt;&gt;"",$D$37,(D52*(1+IF(D53="",0,D53))^ROUNDDOWN((ROW(INDIRECT("1:10"))-1)/IF(D54="",5,D54),0))/IF(D62="",IF($D$35="",0,$D$35),D62))))))*IF(D62="",IF($D$35="",0,$D$35),D62)))</f>
        <v>0</v>
      </c>
      <c r="E69" s="63" t="str">
        <f aca="true">IF(OR(E52="",AND(E62="",$D$35=""),D13=""),"",IF(IF(E62="",IF($D$35="",0,$D$35),E62)=0,0,SUMPRODUCT(((D13*1.02^(ROW(INDIRECT("1:10"))-1))-(IF(E63&lt;&gt;"",E63,IF($D$37&lt;&gt;"",$D$37,(E52*(1+IF(E53="",0,E53))^ROUNDDOWN((ROW(INDIRECT("1:10"))-1)/IF(E54="",5,E54),0))/IF(E62="",IF($D$35="",0,$D$35),E62))))&gt;0)*((D13*1.02^(ROW(INDIRECT("1:10"))-1))-(IF(E63&lt;&gt;"",E63,IF($D$37&lt;&gt;"",$D$37,(E52*(1+IF(E53="",0,E53))^ROUNDDOWN((ROW(INDIRECT("1:10"))-1)/IF(E54="",5,E54),0))/IF(E62="",IF($D$35="",0,$D$35),E62))))))*IF(E62="",IF($D$35="",0,$D$35),E62)))</f>
        <v/>
      </c>
      <c r="F69" s="63" t="str">
        <f aca="true">IF(OR(F52="",AND(F62="",$D$35=""),D13=""),"",IF(IF(F62="",IF($D$35="",0,$D$35),F62)=0,0,SUMPRODUCT(((D13*1.02^(ROW(INDIRECT("1:10"))-1))-(IF(F63&lt;&gt;"",F63,IF($D$37&lt;&gt;"",$D$37,(F52*(1+IF(F53="",0,F53))^ROUNDDOWN((ROW(INDIRECT("1:10"))-1)/IF(F54="",5,F54),0))/IF(F62="",IF($D$35="",0,$D$35),F62))))&gt;0)*((D13*1.02^(ROW(INDIRECT("1:10"))-1))-(IF(F63&lt;&gt;"",F63,IF($D$37&lt;&gt;"",$D$37,(F52*(1+IF(F53="",0,F53))^ROUNDDOWN((ROW(INDIRECT("1:10"))-1)/IF(F54="",5,F54),0))/IF(F62="",IF($D$35="",0,$D$35),F62))))))*IF(F62="",IF($D$35="",0,$D$35),F62)))</f>
        <v/>
      </c>
      <c r="G69" s="63" t="str">
        <f aca="true">IF(OR(G52="",AND(G62="",$D$35=""),D13=""),"",IF(IF(G62="",IF($D$35="",0,$D$35),G62)=0,0,SUMPRODUCT(((D13*1.02^(ROW(INDIRECT("1:10"))-1))-(IF(G63&lt;&gt;"",G63,IF($D$37&lt;&gt;"",$D$37,(G52*(1+IF(G53="",0,G53))^ROUNDDOWN((ROW(INDIRECT("1:10"))-1)/IF(G54="",5,G54),0))/IF(G62="",IF($D$35="",0,$D$35),G62))))&gt;0)*((D13*1.02^(ROW(INDIRECT("1:10"))-1))-(IF(G63&lt;&gt;"",G63,IF($D$37&lt;&gt;"",$D$37,(G52*(1+IF(G53="",0,G53))^ROUNDDOWN((ROW(INDIRECT("1:10"))-1)/IF(G54="",5,G54),0))/IF(G62="",IF($D$35="",0,$D$35),G62))))))*IF(G62="",IF($D$35="",0,$D$35),G62)))</f>
        <v/>
      </c>
      <c r="H69" s="63" t="str">
        <f aca="true">IF(OR(H52="",AND(H62="",$D$35=""),D13=""),"",IF(IF(H62="",IF($D$35="",0,$D$35),H62)=0,0,SUMPRODUCT(((D13*1.02^(ROW(INDIRECT("1:10"))-1))-(IF(H63&lt;&gt;"",H63,IF($D$37&lt;&gt;"",$D$37,(H52*(1+IF(H53="",0,H53))^ROUNDDOWN((ROW(INDIRECT("1:10"))-1)/IF(H54="",5,H54),0))/IF(H62="",IF($D$35="",0,$D$35),H62))))&gt;0)*((D13*1.02^(ROW(INDIRECT("1:10"))-1))-(IF(H63&lt;&gt;"",H63,IF($D$37&lt;&gt;"",$D$37,(H52*(1+IF(H53="",0,H53))^ROUNDDOWN((ROW(INDIRECT("1:10"))-1)/IF(H54="",5,H54),0))/IF(H62="",IF($D$35="",0,$D$35),H62))))))*IF(H62="",IF($D$35="",0,$D$35),H62)))</f>
        <v/>
      </c>
    </row>
    <row r="70" customFormat="false" ht="15" hidden="false" customHeight="true" outlineLevel="0" collapsed="false">
      <c r="A70" s="22" t="s">
        <v>372</v>
      </c>
      <c r="B70" s="22"/>
      <c r="C70" s="22"/>
      <c r="D70" s="63" t="n">
        <f aca="false">IF(OR(D60="",D69=""),"",D60+D69)</f>
        <v>343602</v>
      </c>
      <c r="E70" s="63" t="str">
        <f aca="false">IF(OR(E60="",E69=""),"",E60+E69)</f>
        <v/>
      </c>
      <c r="F70" s="63" t="str">
        <f aca="false">IF(OR(F60="",F69=""),"",F60+F69)</f>
        <v/>
      </c>
      <c r="G70" s="63" t="str">
        <f aca="false">IF(OR(G60="",G69=""),"",G60+G69)</f>
        <v/>
      </c>
      <c r="H70" s="63" t="str">
        <f aca="false">IF(OR(H60="",H69=""),"",H60+H69)</f>
        <v/>
      </c>
    </row>
    <row r="71" customFormat="false" ht="23.85" hidden="false" customHeight="true" outlineLevel="0" collapsed="false">
      <c r="A71" s="22" t="s">
        <v>373</v>
      </c>
      <c r="B71" s="22"/>
      <c r="C71" s="22"/>
      <c r="D71" s="65" t="n">
        <f aca="true">IF(D52="","",SUMPRODUCT(D52*(1+IF(D53="",0,D53))^ROUNDDOWN((ROW(INDIRECT("1:"&amp;IF(D55="",10,D55)))-1)/IF(D54="",5,D54),0))+IF(OR(D13="",IF(D62="",IF($D$35="",0,$D$35),D62)=0),0,SUMPRODUCT(((D13*1.02^(ROW(INDIRECT("1:"&amp;IF(D55="",10,D55)))-1))-(IF(D63&lt;&gt;"",D63,IF($D$37&lt;&gt;"",$D$37,(D52*(1+IF(D53="",0,D53))^ROUNDDOWN((ROW(INDIRECT("1:"&amp;IF(D55="",10,D55)))-1)/IF(D54="",5,D54),0))/IF(D62="",IF($D$35="",0,$D$35),D62))))&gt;0)*((D13*1.02^(ROW(INDIRECT("1:"&amp;IF(D55="",10,D55)))-1))-(IF(D63&lt;&gt;"",D63,IF($D$37&lt;&gt;"",$D$37,(D52*(1+IF(D53="",0,D53))^ROUNDDOWN((ROW(INDIRECT("1:"&amp;IF(D55="",10,D55)))-1)/IF(D54="",5,D54),0))/IF(D62="",IF($D$35="",0,$D$35),D62))))))*IF(D62="",IF($D$35="",0,$D$35),D62)))</f>
        <v>701085.5208</v>
      </c>
      <c r="E71" s="65" t="str">
        <f aca="true">IF(E52="","",SUMPRODUCT(E52*(1+IF(E53="",0,E53))^ROUNDDOWN((ROW(INDIRECT("1:"&amp;IF(E55="",10,E55)))-1)/IF(E54="",5,E54),0))+IF(OR(D13="",IF(E62="",IF($D$35="",0,$D$35),E62)=0),0,SUMPRODUCT(((D13*1.02^(ROW(INDIRECT("1:"&amp;IF(E55="",10,E55)))-1))-(IF(E63&lt;&gt;"",E63,IF($D$37&lt;&gt;"",$D$37,(E52*(1+IF(E53="",0,E53))^ROUNDDOWN((ROW(INDIRECT("1:"&amp;IF(E55="",10,E55)))-1)/IF(E54="",5,E54),0))/IF(E62="",IF($D$35="",0,$D$35),E62))))&gt;0)*((D13*1.02^(ROW(INDIRECT("1:"&amp;IF(E55="",10,E55)))-1))-(IF(E63&lt;&gt;"",E63,IF($D$37&lt;&gt;"",$D$37,(E52*(1+IF(E53="",0,E53))^ROUNDDOWN((ROW(INDIRECT("1:"&amp;IF(E55="",10,E55)))-1)/IF(E54="",5,E54),0))/IF(E62="",IF($D$35="",0,$D$35),E62))))))*IF(E62="",IF($D$35="",0,$D$35),E62)))</f>
        <v/>
      </c>
      <c r="F71" s="65" t="str">
        <f aca="true">IF(F52="","",SUMPRODUCT(F52*(1+IF(F53="",0,F53))^ROUNDDOWN((ROW(INDIRECT("1:"&amp;IF(F55="",10,F55)))-1)/IF(F54="",5,F54),0))+IF(OR(D13="",IF(F62="",IF($D$35="",0,$D$35),F62)=0),0,SUMPRODUCT(((D13*1.02^(ROW(INDIRECT("1:"&amp;IF(F55="",10,F55)))-1))-(IF(F63&lt;&gt;"",F63,IF($D$37&lt;&gt;"",$D$37,(F52*(1+IF(F53="",0,F53))^ROUNDDOWN((ROW(INDIRECT("1:"&amp;IF(F55="",10,F55)))-1)/IF(F54="",5,F54),0))/IF(F62="",IF($D$35="",0,$D$35),F62))))&gt;0)*((D13*1.02^(ROW(INDIRECT("1:"&amp;IF(F55="",10,F55)))-1))-(IF(F63&lt;&gt;"",F63,IF($D$37&lt;&gt;"",$D$37,(F52*(1+IF(F53="",0,F53))^ROUNDDOWN((ROW(INDIRECT("1:"&amp;IF(F55="",10,F55)))-1)/IF(F54="",5,F54),0))/IF(F62="",IF($D$35="",0,$D$35),F62))))))*IF(F62="",IF($D$35="",0,$D$35),F62)))</f>
        <v/>
      </c>
      <c r="G71" s="65" t="str">
        <f aca="true">IF(G52="","",SUMPRODUCT(G52*(1+IF(G53="",0,G53))^ROUNDDOWN((ROW(INDIRECT("1:"&amp;IF(G55="",10,G55)))-1)/IF(G54="",5,G54),0))+IF(OR(D13="",IF(G62="",IF($D$35="",0,$D$35),G62)=0),0,SUMPRODUCT(((D13*1.02^(ROW(INDIRECT("1:"&amp;IF(G55="",10,G55)))-1))-(IF(G63&lt;&gt;"",G63,IF($D$37&lt;&gt;"",$D$37,(G52*(1+IF(G53="",0,G53))^ROUNDDOWN((ROW(INDIRECT("1:"&amp;IF(G55="",10,G55)))-1)/IF(G54="",5,G54),0))/IF(G62="",IF($D$35="",0,$D$35),G62))))&gt;0)*((D13*1.02^(ROW(INDIRECT("1:"&amp;IF(G55="",10,G55)))-1))-(IF(G63&lt;&gt;"",G63,IF($D$37&lt;&gt;"",$D$37,(G52*(1+IF(G53="",0,G53))^ROUNDDOWN((ROW(INDIRECT("1:"&amp;IF(G55="",10,G55)))-1)/IF(G54="",5,G54),0))/IF(G62="",IF($D$35="",0,$D$35),G62))))))*IF(G62="",IF($D$35="",0,$D$35),G62)))</f>
        <v/>
      </c>
      <c r="H71" s="65" t="str">
        <f aca="true">IF(H52="","",SUMPRODUCT(H52*(1+IF(H53="",0,H53))^ROUNDDOWN((ROW(INDIRECT("1:"&amp;IF(H55="",10,H55)))-1)/IF(H54="",5,H54),0))+IF(OR(D13="",IF(H62="",IF($D$35="",0,$D$35),H62)=0),0,SUMPRODUCT(((D13*1.02^(ROW(INDIRECT("1:"&amp;IF(H55="",10,H55)))-1))-(IF(H63&lt;&gt;"",H63,IF($D$37&lt;&gt;"",$D$37,(H52*(1+IF(H53="",0,H53))^ROUNDDOWN((ROW(INDIRECT("1:"&amp;IF(H55="",10,H55)))-1)/IF(H54="",5,H54),0))/IF(H62="",IF($D$35="",0,$D$35),H62))))&gt;0)*((D13*1.02^(ROW(INDIRECT("1:"&amp;IF(H55="",10,H55)))-1))-(IF(H63&lt;&gt;"",H63,IF($D$37&lt;&gt;"",$D$37,(H52*(1+IF(H53="",0,H53))^ROUNDDOWN((ROW(INDIRECT("1:"&amp;IF(H55="",10,H55)))-1)/IF(H54="",5,H54),0))/IF(H62="",IF($D$35="",0,$D$35),H62))))))*IF(H62="",IF($D$35="",0,$D$35),H62)))</f>
        <v/>
      </c>
    </row>
    <row r="72" customFormat="false" ht="15" hidden="false" customHeight="true" outlineLevel="0" collapsed="false">
      <c r="A72" s="22" t="s">
        <v>374</v>
      </c>
      <c r="B72" s="22"/>
      <c r="C72" s="22"/>
      <c r="D72" s="62" t="n">
        <f aca="false">IF(D52="","",IF(D53="",0,(1+D53)^(5/IF(D54="",5,D54))-1))</f>
        <v>0.02</v>
      </c>
      <c r="E72" s="62" t="str">
        <f aca="false">IF(E52="","",IF(E53="",0,(1+E53)^(5/IF(E54="",5,E54))-1))</f>
        <v/>
      </c>
      <c r="F72" s="62" t="str">
        <f aca="false">IF(F52="","",IF(F53="",0,(1+F53)^(5/IF(F54="",5,F54))-1))</f>
        <v/>
      </c>
      <c r="G72" s="62" t="str">
        <f aca="false">IF(G52="","",IF(G53="",0,(1+G53)^(5/IF(G54="",5,G54))-1))</f>
        <v/>
      </c>
      <c r="H72" s="62" t="str">
        <f aca="false">IF(H52="","",IF(H53="",0,(1+H53)^(5/IF(H54="",5,H54))-1))</f>
        <v/>
      </c>
    </row>
    <row r="73" customFormat="false" ht="43.25" hidden="false" customHeight="true" outlineLevel="0" collapsed="false">
      <c r="A73" s="22" t="s">
        <v>375</v>
      </c>
      <c r="B73" s="22"/>
      <c r="C73" s="22"/>
      <c r="D73" s="66" t="str">
        <f aca="false">IF(D72="","",IF(D72&lt;=0,"REDUCTION / FLAT — ladder steps 1-2 (best)",IF(D72&lt;=0.08,"OK — within 8%/5-yr in-house authority (ladder step 3)","ABOVE 8%/5-yr — CEO SIGN-OFF REQUIRED (Rob 8/5/26)")))</f>
        <v>OK — within 8%/5-yr in-house authority (ladder step 3)</v>
      </c>
      <c r="E73" s="66" t="str">
        <f aca="false">IF(E72="","",IF(E72&lt;=0,"REDUCTION / FLAT — ladder steps 1-2 (best)",IF(E72&lt;=0.08,"OK — within 8%/5-yr in-house authority (ladder step 3)","ABOVE 8%/5-yr — CEO SIGN-OFF REQUIRED (Rob 8/5/26)")))</f>
        <v/>
      </c>
      <c r="F73" s="66" t="str">
        <f aca="false">IF(F72="","",IF(F72&lt;=0,"REDUCTION / FLAT — ladder steps 1-2 (best)",IF(F72&lt;=0.08,"OK — within 8%/5-yr in-house authority (ladder step 3)","ABOVE 8%/5-yr — CEO SIGN-OFF REQUIRED (Rob 8/5/26)")))</f>
        <v/>
      </c>
      <c r="G73" s="66" t="str">
        <f aca="false">IF(G72="","",IF(G72&lt;=0,"REDUCTION / FLAT — ladder steps 1-2 (best)",IF(G72&lt;=0.08,"OK — within 8%/5-yr in-house authority (ladder step 3)","ABOVE 8%/5-yr — CEO SIGN-OFF REQUIRED (Rob 8/5/26)")))</f>
        <v/>
      </c>
      <c r="H73" s="66" t="str">
        <f aca="false">IF(H72="","",IF(H72&lt;=0,"REDUCTION / FLAT — ladder steps 1-2 (best)",IF(H72&lt;=0.08,"OK — within 8%/5-yr in-house authority (ladder step 3)","ABOVE 8%/5-yr — CEO SIGN-OFF REQUIRED (Rob 8/5/26)")))</f>
        <v/>
      </c>
    </row>
    <row r="74" customFormat="false" ht="23.85" hidden="false" customHeight="true" outlineLevel="0" collapsed="false">
      <c r="A74" s="22" t="s">
        <v>376</v>
      </c>
      <c r="B74" s="22"/>
      <c r="C74" s="22"/>
      <c r="D74" s="62" t="n">
        <f aca="false">IF(OR(D52="",D13=""),"",((D52*(1+IF(D53="",0,D53))^ROUNDDOWN(9/IF(D54="",5,D54),0))+IF(IF(D62="",IF($D$35="",0,$D$35),D62)=0,0,MAX(0,D13*1.02^9-IF(D63&lt;&gt;"",D63,IF($D$37&lt;&gt;"",$D$37,(D52*(1+IF(D53="",0,D53))^ROUNDDOWN(9/IF(D54="",5,D54),0))/IF(D62="",IF($D$35="",0,$D$35),D62))))*IF(D62="",IF($D$35="",0,$D$35),D62)))/(D13*1.02^9))</f>
        <v>0.00926475508228704</v>
      </c>
      <c r="E74" s="62" t="str">
        <f aca="false">IF(OR(E52="",D13=""),"",((E52*(1+IF(E53="",0,E53))^ROUNDDOWN(9/IF(E54="",5,E54),0))+IF(IF(E62="",IF($D$35="",0,$D$35),E62)=0,0,MAX(0,D13*1.02^9-IF(E63&lt;&gt;"",E63,IF($D$37&lt;&gt;"",$D$37,(E52*(1+IF(E53="",0,E53))^ROUNDDOWN(9/IF(E54="",5,E54),0))/IF(E62="",IF($D$35="",0,$D$35),E62))))*IF(E62="",IF($D$35="",0,$D$35),E62)))/(D13*1.02^9))</f>
        <v/>
      </c>
      <c r="F74" s="62" t="str">
        <f aca="false">IF(OR(F52="",D13=""),"",((F52*(1+IF(F53="",0,F53))^ROUNDDOWN(9/IF(F54="",5,F54),0))+IF(IF(F62="",IF($D$35="",0,$D$35),F62)=0,0,MAX(0,D13*1.02^9-IF(F63&lt;&gt;"",F63,IF($D$37&lt;&gt;"",$D$37,(F52*(1+IF(F53="",0,F53))^ROUNDDOWN(9/IF(F54="",5,F54),0))/IF(F62="",IF($D$35="",0,$D$35),F62))))*IF(F62="",IF($D$35="",0,$D$35),F62)))/(D13*1.02^9))</f>
        <v/>
      </c>
      <c r="G74" s="62" t="str">
        <f aca="false">IF(OR(G52="",D13=""),"",((G52*(1+IF(G53="",0,G53))^ROUNDDOWN(9/IF(G54="",5,G54),0))+IF(IF(G62="",IF($D$35="",0,$D$35),G62)=0,0,MAX(0,D13*1.02^9-IF(G63&lt;&gt;"",G63,IF($D$37&lt;&gt;"",$D$37,(G52*(1+IF(G53="",0,G53))^ROUNDDOWN(9/IF(G54="",5,G54),0))/IF(G62="",IF($D$35="",0,$D$35),G62))))*IF(G62="",IF($D$35="",0,$D$35),G62)))/(D13*1.02^9))</f>
        <v/>
      </c>
      <c r="H74" s="62" t="str">
        <f aca="false">IF(OR(H52="",D13=""),"",((H52*(1+IF(H53="",0,H53))^ROUNDDOWN(9/IF(H54="",5,H54),0))+IF(IF(H62="",IF($D$35="",0,$D$35),H62)=0,0,MAX(0,D13*1.02^9-IF(H63&lt;&gt;"",H63,IF($D$37&lt;&gt;"",$D$37,(H52*(1+IF(H53="",0,H53))^ROUNDDOWN(9/IF(H54="",5,H54),0))/IF(H62="",IF($D$35="",0,$D$35),H62))))*IF(H62="",IF($D$35="",0,$D$35),H62)))/(D13*1.02^9))</f>
        <v/>
      </c>
    </row>
    <row r="75" customFormat="false" ht="23.85" hidden="false" customHeight="true" outlineLevel="0" collapsed="false">
      <c r="A75" s="22" t="s">
        <v>377</v>
      </c>
      <c r="B75" s="22"/>
      <c r="C75" s="22"/>
      <c r="D75" s="66" t="str">
        <f aca="false">IF(OR(D74="",D67=""),"",IF(MAX(D67,D74)&gt;=0.08,"HARD STOP — occupancy at/above 8% of sales: STOP, CEO sign-off before responding",IF(MAX(D67,D74)&gt;0.07,"Above Kim 7% alert — approaching 8% hard stop","OK — under 7% alert")))</f>
        <v>OK — under 7% alert</v>
      </c>
      <c r="E75" s="66" t="str">
        <f aca="false">IF(OR(E74="",E67=""),"",IF(MAX(E67,E74)&gt;=0.08,"HARD STOP — occupancy at/above 8% of sales: STOP, CEO sign-off before responding",IF(MAX(E67,E74)&gt;0.07,"Above Kim 7% alert — approaching 8% hard stop","OK — under 7% alert")))</f>
        <v/>
      </c>
      <c r="F75" s="66" t="str">
        <f aca="false">IF(OR(F74="",F67=""),"",IF(MAX(F67,F74)&gt;=0.08,"HARD STOP — occupancy at/above 8% of sales: STOP, CEO sign-off before responding",IF(MAX(F67,F74)&gt;0.07,"Above Kim 7% alert — approaching 8% hard stop","OK — under 7% alert")))</f>
        <v/>
      </c>
      <c r="G75" s="66" t="str">
        <f aca="false">IF(OR(G74="",G67=""),"",IF(MAX(G67,G74)&gt;=0.08,"HARD STOP — occupancy at/above 8% of sales: STOP, CEO sign-off before responding",IF(MAX(G67,G74)&gt;0.07,"Above Kim 7% alert — approaching 8% hard stop","OK — under 7% alert")))</f>
        <v/>
      </c>
      <c r="H75" s="66" t="str">
        <f aca="false">IF(OR(H74="",H67=""),"",IF(MAX(H67,H74)&gt;=0.08,"HARD STOP — occupancy at/above 8% of sales: STOP, CEO sign-off before responding",IF(MAX(H67,H74)&gt;0.07,"Above Kim 7% alert — approaching 8% hard stop","OK — under 7% alert")))</f>
        <v/>
      </c>
    </row>
    <row r="77" customFormat="false" ht="22.35" hidden="false" customHeight="true" outlineLevel="0" collapsed="false">
      <c r="A77" s="68" t="s">
        <v>379</v>
      </c>
      <c r="B77" s="68"/>
      <c r="C77" s="68"/>
      <c r="D77" s="68"/>
      <c r="E77" s="68"/>
      <c r="F77" s="68"/>
      <c r="G77" s="68"/>
      <c r="H77" s="68"/>
      <c r="I77" s="68"/>
      <c r="J77" s="68"/>
    </row>
    <row r="79" customFormat="false" ht="15" hidden="false" customHeight="false" outlineLevel="0" collapsed="false">
      <c r="A79" s="69" t="s">
        <v>380</v>
      </c>
      <c r="B79" s="69"/>
      <c r="C79" s="69"/>
      <c r="D79" s="69"/>
      <c r="E79" s="69"/>
      <c r="F79" s="69"/>
      <c r="G79" s="69"/>
      <c r="H79" s="69"/>
      <c r="I79" s="69"/>
      <c r="J79" s="69"/>
    </row>
    <row r="82" customFormat="false" ht="15" hidden="false" customHeight="false" outlineLevel="0" collapsed="false">
      <c r="A82" s="25" t="s">
        <v>381</v>
      </c>
    </row>
    <row r="83" customFormat="false" ht="15" hidden="false" customHeight="false" outlineLevel="0" collapsed="false">
      <c r="A83" s="69" t="s">
        <v>382</v>
      </c>
      <c r="B83" s="69"/>
      <c r="C83" s="69"/>
      <c r="D83" s="69"/>
      <c r="E83" s="69"/>
      <c r="F83" s="69"/>
      <c r="G83" s="69"/>
      <c r="H83" s="69"/>
      <c r="I83" s="69"/>
      <c r="J83" s="69"/>
      <c r="K83" s="69"/>
      <c r="L83" s="69"/>
      <c r="M83" s="69"/>
      <c r="N83" s="69"/>
      <c r="O83" s="69"/>
      <c r="P83" s="69"/>
      <c r="Q83" s="69"/>
      <c r="R83" s="69"/>
      <c r="S83" s="69"/>
      <c r="T83" s="69"/>
    </row>
    <row r="84" customFormat="false" ht="15" hidden="false" customHeight="true" outlineLevel="0" collapsed="false">
      <c r="A84" s="70" t="s">
        <v>383</v>
      </c>
      <c r="B84" s="70" t="s">
        <v>384</v>
      </c>
      <c r="C84" s="71" t="s">
        <v>385</v>
      </c>
      <c r="D84" s="71"/>
      <c r="E84" s="71"/>
      <c r="F84" s="71" t="s">
        <v>386</v>
      </c>
      <c r="G84" s="71"/>
      <c r="H84" s="71"/>
      <c r="I84" s="71" t="s">
        <v>387</v>
      </c>
      <c r="J84" s="71"/>
      <c r="K84" s="71"/>
      <c r="L84" s="71" t="s">
        <v>388</v>
      </c>
      <c r="M84" s="71"/>
      <c r="N84" s="71"/>
      <c r="O84" s="71" t="s">
        <v>389</v>
      </c>
      <c r="P84" s="71"/>
      <c r="Q84" s="71"/>
      <c r="R84" s="72" t="s">
        <v>390</v>
      </c>
      <c r="S84" s="72"/>
      <c r="T84" s="72"/>
    </row>
    <row r="85" customFormat="false" ht="15" hidden="false" customHeight="false" outlineLevel="0" collapsed="false">
      <c r="A85" s="73"/>
      <c r="B85" s="73"/>
      <c r="C85" s="73" t="s">
        <v>391</v>
      </c>
      <c r="D85" s="73" t="s">
        <v>392</v>
      </c>
      <c r="E85" s="73" t="s">
        <v>393</v>
      </c>
      <c r="F85" s="73" t="s">
        <v>391</v>
      </c>
      <c r="G85" s="73" t="s">
        <v>392</v>
      </c>
      <c r="H85" s="73" t="s">
        <v>393</v>
      </c>
      <c r="I85" s="73" t="s">
        <v>391</v>
      </c>
      <c r="J85" s="73" t="s">
        <v>392</v>
      </c>
      <c r="K85" s="73" t="s">
        <v>393</v>
      </c>
      <c r="L85" s="73" t="s">
        <v>391</v>
      </c>
      <c r="M85" s="73" t="s">
        <v>392</v>
      </c>
      <c r="N85" s="73" t="s">
        <v>393</v>
      </c>
      <c r="O85" s="73" t="s">
        <v>391</v>
      </c>
      <c r="P85" s="73" t="s">
        <v>392</v>
      </c>
      <c r="Q85" s="73" t="s">
        <v>393</v>
      </c>
      <c r="R85" s="73" t="s">
        <v>391</v>
      </c>
      <c r="S85" s="73" t="s">
        <v>392</v>
      </c>
      <c r="T85" s="73" t="s">
        <v>393</v>
      </c>
    </row>
    <row r="86" customFormat="false" ht="15" hidden="false" customHeight="false" outlineLevel="0" collapsed="false">
      <c r="A86" s="74" t="n">
        <v>1</v>
      </c>
      <c r="B86" s="75" t="n">
        <v>3134000</v>
      </c>
      <c r="C86" s="76" t="n">
        <v>34020</v>
      </c>
      <c r="D86" s="76" t="n">
        <v>0</v>
      </c>
      <c r="E86" s="76" t="n">
        <v>34020</v>
      </c>
      <c r="F86" s="75" t="n">
        <f aca="false">IF(D52="","",IF(1&gt;IF(D55="",10,D55),"",D52*(1+IF(D53="",0,D53))^ROUNDDOWN((1-1)/IF(D54="",5,D54),0)))</f>
        <v>34020</v>
      </c>
      <c r="G86" s="75" t="n">
        <f aca="false">IF(F86="","",IF((IF(D62="",IF($D$35="",0,$D$35),D62))=0,0,MAX(0,3134000-(IF(D63&lt;&gt;"",D63,IF($D$37&lt;&gt;"",$D$37,IF((IF(D62="",IF($D$35="",0,$D$35),D62))=0,0,D52/(IF(D62="",IF($D$35="",0,$D$35),D62)))))))*(IF(D62="",IF($D$35="",0,$D$35),D62))))</f>
        <v>0</v>
      </c>
      <c r="H86" s="75" t="n">
        <f aca="false">IF(F86="","",F86+G86)</f>
        <v>34020</v>
      </c>
      <c r="I86" s="75" t="str">
        <f aca="false">IF(E52="","",IF(1&gt;IF(E55="",10,E55),"",E52*(1+IF(E53="",0,E53))^ROUNDDOWN((1-1)/IF(E54="",5,E54),0)))</f>
        <v/>
      </c>
      <c r="J86" s="75" t="str">
        <f aca="false">IF(I86="","",IF((IF(E62="",IF($D$35="",0,$D$35),E62))=0,0,MAX(0,3134000-(IF(E63&lt;&gt;"",E63,IF($D$37&lt;&gt;"",$D$37,IF((IF(E62="",IF($D$35="",0,$D$35),E62))=0,0,E52/(IF(E62="",IF($D$35="",0,$D$35),E62)))))))*(IF(E62="",IF($D$35="",0,$D$35),E62))))</f>
        <v/>
      </c>
      <c r="K86" s="75" t="str">
        <f aca="false">IF(I86="","",I86+J86)</f>
        <v/>
      </c>
      <c r="L86" s="75" t="str">
        <f aca="false">IF(F52="","",IF(1&gt;IF(F55="",10,F55),"",F52*(1+IF(F53="",0,F53))^ROUNDDOWN((1-1)/IF(F54="",5,F54),0)))</f>
        <v/>
      </c>
      <c r="M86" s="75" t="str">
        <f aca="false">IF(L86="","",IF((IF(F62="",IF($D$35="",0,$D$35),F62))=0,0,MAX(0,3134000-(IF(F63&lt;&gt;"",F63,IF($D$37&lt;&gt;"",$D$37,IF((IF(F62="",IF($D$35="",0,$D$35),F62))=0,0,F52/(IF(F62="",IF($D$35="",0,$D$35),F62)))))))*(IF(F62="",IF($D$35="",0,$D$35),F62))))</f>
        <v/>
      </c>
      <c r="N86" s="75" t="str">
        <f aca="false">IF(L86="","",L86+M86)</f>
        <v/>
      </c>
      <c r="O86" s="75" t="str">
        <f aca="false">IF(G52="","",IF(1&gt;IF(G55="",10,G55),"",G52*(1+IF(G53="",0,G53))^ROUNDDOWN((1-1)/IF(G54="",5,G54),0)))</f>
        <v/>
      </c>
      <c r="P86" s="75" t="str">
        <f aca="false">IF(O86="","",IF((IF(G62="",IF($D$35="",0,$D$35),G62))=0,0,MAX(0,3134000-(IF(G63&lt;&gt;"",G63,IF($D$37&lt;&gt;"",$D$37,IF((IF(G62="",IF($D$35="",0,$D$35),G62))=0,0,G52/(IF(G62="",IF($D$35="",0,$D$35),G62)))))))*(IF(G62="",IF($D$35="",0,$D$35),G62))))</f>
        <v/>
      </c>
      <c r="Q86" s="75" t="str">
        <f aca="false">IF(O86="","",O86+P86)</f>
        <v/>
      </c>
      <c r="R86" s="75" t="str">
        <f aca="false">IF(H52="","",IF(1&gt;IF(H55="",10,H55),"",H52*(1+IF(H53="",0,H53))^ROUNDDOWN((1-1)/IF(H54="",5,H54),0)))</f>
        <v/>
      </c>
      <c r="S86" s="75" t="str">
        <f aca="false">IF(R86="","",IF((IF(H62="",IF($D$35="",0,$D$35),H62))=0,0,MAX(0,3134000-(IF(H63&lt;&gt;"",H63,IF($D$37&lt;&gt;"",$D$37,IF((IF(H62="",IF($D$35="",0,$D$35),H62))=0,0,H52/(IF(H62="",IF($D$35="",0,$D$35),H62)))))))*(IF(H62="",IF($D$35="",0,$D$35),H62))))</f>
        <v/>
      </c>
      <c r="T86" s="75" t="str">
        <f aca="false">IF(R86="","",R86+S86)</f>
        <v/>
      </c>
    </row>
    <row r="87" customFormat="false" ht="15" hidden="false" customHeight="false" outlineLevel="0" collapsed="false">
      <c r="A87" s="74" t="n">
        <v>2</v>
      </c>
      <c r="B87" s="75" t="n">
        <v>3196680</v>
      </c>
      <c r="C87" s="76" t="n">
        <v>34020</v>
      </c>
      <c r="D87" s="76" t="n">
        <v>0</v>
      </c>
      <c r="E87" s="76" t="n">
        <v>34020</v>
      </c>
      <c r="F87" s="75" t="n">
        <f aca="false">IF(D52="","",IF(2&gt;IF(D55="",10,D55),"",D52*(1+IF(D53="",0,D53))^ROUNDDOWN((2-1)/IF(D54="",5,D54),0)))</f>
        <v>34020</v>
      </c>
      <c r="G87" s="75" t="n">
        <f aca="false">IF(F87="","",IF((IF(D62="",IF($D$35="",0,$D$35),D62))=0,0,MAX(0,3196680-(IF(D63&lt;&gt;"",D63,IF($D$37&lt;&gt;"",$D$37,IF((IF(D62="",IF($D$35="",0,$D$35),D62))=0,0,D52/(IF(D62="",IF($D$35="",0,$D$35),D62)))))))*(IF(D62="",IF($D$35="",0,$D$35),D62))))</f>
        <v>0</v>
      </c>
      <c r="H87" s="75" t="n">
        <f aca="false">IF(F87="","",F87+G87)</f>
        <v>34020</v>
      </c>
      <c r="I87" s="75" t="str">
        <f aca="false">IF(E52="","",IF(2&gt;IF(E55="",10,E55),"",E52*(1+IF(E53="",0,E53))^ROUNDDOWN((2-1)/IF(E54="",5,E54),0)))</f>
        <v/>
      </c>
      <c r="J87" s="75" t="str">
        <f aca="false">IF(I87="","",IF((IF(E62="",IF($D$35="",0,$D$35),E62))=0,0,MAX(0,3196680-(IF(E63&lt;&gt;"",E63,IF($D$37&lt;&gt;"",$D$37,IF((IF(E62="",IF($D$35="",0,$D$35),E62))=0,0,E52/(IF(E62="",IF($D$35="",0,$D$35),E62)))))))*(IF(E62="",IF($D$35="",0,$D$35),E62))))</f>
        <v/>
      </c>
      <c r="K87" s="75" t="str">
        <f aca="false">IF(I87="","",I87+J87)</f>
        <v/>
      </c>
      <c r="L87" s="75" t="str">
        <f aca="false">IF(F52="","",IF(2&gt;IF(F55="",10,F55),"",F52*(1+IF(F53="",0,F53))^ROUNDDOWN((2-1)/IF(F54="",5,F54),0)))</f>
        <v/>
      </c>
      <c r="M87" s="75" t="str">
        <f aca="false">IF(L87="","",IF((IF(F62="",IF($D$35="",0,$D$35),F62))=0,0,MAX(0,3196680-(IF(F63&lt;&gt;"",F63,IF($D$37&lt;&gt;"",$D$37,IF((IF(F62="",IF($D$35="",0,$D$35),F62))=0,0,F52/(IF(F62="",IF($D$35="",0,$D$35),F62)))))))*(IF(F62="",IF($D$35="",0,$D$35),F62))))</f>
        <v/>
      </c>
      <c r="N87" s="75" t="str">
        <f aca="false">IF(L87="","",L87+M87)</f>
        <v/>
      </c>
      <c r="O87" s="75" t="str">
        <f aca="false">IF(G52="","",IF(2&gt;IF(G55="",10,G55),"",G52*(1+IF(G53="",0,G53))^ROUNDDOWN((2-1)/IF(G54="",5,G54),0)))</f>
        <v/>
      </c>
      <c r="P87" s="75" t="str">
        <f aca="false">IF(O87="","",IF((IF(G62="",IF($D$35="",0,$D$35),G62))=0,0,MAX(0,3196680-(IF(G63&lt;&gt;"",G63,IF($D$37&lt;&gt;"",$D$37,IF((IF(G62="",IF($D$35="",0,$D$35),G62))=0,0,G52/(IF(G62="",IF($D$35="",0,$D$35),G62)))))))*(IF(G62="",IF($D$35="",0,$D$35),G62))))</f>
        <v/>
      </c>
      <c r="Q87" s="75" t="str">
        <f aca="false">IF(O87="","",O87+P87)</f>
        <v/>
      </c>
      <c r="R87" s="75" t="str">
        <f aca="false">IF(H52="","",IF(2&gt;IF(H55="",10,H55),"",H52*(1+IF(H53="",0,H53))^ROUNDDOWN((2-1)/IF(H54="",5,H54),0)))</f>
        <v/>
      </c>
      <c r="S87" s="75" t="str">
        <f aca="false">IF(R87="","",IF((IF(H62="",IF($D$35="",0,$D$35),H62))=0,0,MAX(0,3196680-(IF(H63&lt;&gt;"",H63,IF($D$37&lt;&gt;"",$D$37,IF((IF(H62="",IF($D$35="",0,$D$35),H62))=0,0,H52/(IF(H62="",IF($D$35="",0,$D$35),H62)))))))*(IF(H62="",IF($D$35="",0,$D$35),H62))))</f>
        <v/>
      </c>
      <c r="T87" s="75" t="str">
        <f aca="false">IF(R87="","",R87+S87)</f>
        <v/>
      </c>
    </row>
    <row r="88" customFormat="false" ht="15" hidden="false" customHeight="false" outlineLevel="0" collapsed="false">
      <c r="A88" s="74" t="n">
        <v>3</v>
      </c>
      <c r="B88" s="75" t="n">
        <v>3260614</v>
      </c>
      <c r="C88" s="76" t="n">
        <v>34020</v>
      </c>
      <c r="D88" s="76" t="n">
        <v>0</v>
      </c>
      <c r="E88" s="76" t="n">
        <v>34020</v>
      </c>
      <c r="F88" s="75" t="n">
        <f aca="false">IF(D52="","",IF(3&gt;IF(D55="",10,D55),"",D52*(1+IF(D53="",0,D53))^ROUNDDOWN((3-1)/IF(D54="",5,D54),0)))</f>
        <v>34020</v>
      </c>
      <c r="G88" s="75" t="n">
        <f aca="false">IF(F88="","",IF((IF(D62="",IF($D$35="",0,$D$35),D62))=0,0,MAX(0,3260613.6-(IF(D63&lt;&gt;"",D63,IF($D$37&lt;&gt;"",$D$37,IF((IF(D62="",IF($D$35="",0,$D$35),D62))=0,0,D52/(IF(D62="",IF($D$35="",0,$D$35),D62)))))))*(IF(D62="",IF($D$35="",0,$D$35),D62))))</f>
        <v>0</v>
      </c>
      <c r="H88" s="75" t="n">
        <f aca="false">IF(F88="","",F88+G88)</f>
        <v>34020</v>
      </c>
      <c r="I88" s="75" t="str">
        <f aca="false">IF(E52="","",IF(3&gt;IF(E55="",10,E55),"",E52*(1+IF(E53="",0,E53))^ROUNDDOWN((3-1)/IF(E54="",5,E54),0)))</f>
        <v/>
      </c>
      <c r="J88" s="75" t="str">
        <f aca="false">IF(I88="","",IF((IF(E62="",IF($D$35="",0,$D$35),E62))=0,0,MAX(0,3260613.6-(IF(E63&lt;&gt;"",E63,IF($D$37&lt;&gt;"",$D$37,IF((IF(E62="",IF($D$35="",0,$D$35),E62))=0,0,E52/(IF(E62="",IF($D$35="",0,$D$35),E62)))))))*(IF(E62="",IF($D$35="",0,$D$35),E62))))</f>
        <v/>
      </c>
      <c r="K88" s="75" t="str">
        <f aca="false">IF(I88="","",I88+J88)</f>
        <v/>
      </c>
      <c r="L88" s="75" t="str">
        <f aca="false">IF(F52="","",IF(3&gt;IF(F55="",10,F55),"",F52*(1+IF(F53="",0,F53))^ROUNDDOWN((3-1)/IF(F54="",5,F54),0)))</f>
        <v/>
      </c>
      <c r="M88" s="75" t="str">
        <f aca="false">IF(L88="","",IF((IF(F62="",IF($D$35="",0,$D$35),F62))=0,0,MAX(0,3260613.6-(IF(F63&lt;&gt;"",F63,IF($D$37&lt;&gt;"",$D$37,IF((IF(F62="",IF($D$35="",0,$D$35),F62))=0,0,F52/(IF(F62="",IF($D$35="",0,$D$35),F62)))))))*(IF(F62="",IF($D$35="",0,$D$35),F62))))</f>
        <v/>
      </c>
      <c r="N88" s="75" t="str">
        <f aca="false">IF(L88="","",L88+M88)</f>
        <v/>
      </c>
      <c r="O88" s="75" t="str">
        <f aca="false">IF(G52="","",IF(3&gt;IF(G55="",10,G55),"",G52*(1+IF(G53="",0,G53))^ROUNDDOWN((3-1)/IF(G54="",5,G54),0)))</f>
        <v/>
      </c>
      <c r="P88" s="75" t="str">
        <f aca="false">IF(O88="","",IF((IF(G62="",IF($D$35="",0,$D$35),G62))=0,0,MAX(0,3260613.6-(IF(G63&lt;&gt;"",G63,IF($D$37&lt;&gt;"",$D$37,IF((IF(G62="",IF($D$35="",0,$D$35),G62))=0,0,G52/(IF(G62="",IF($D$35="",0,$D$35),G62)))))))*(IF(G62="",IF($D$35="",0,$D$35),G62))))</f>
        <v/>
      </c>
      <c r="Q88" s="75" t="str">
        <f aca="false">IF(O88="","",O88+P88)</f>
        <v/>
      </c>
      <c r="R88" s="75" t="str">
        <f aca="false">IF(H52="","",IF(3&gt;IF(H55="",10,H55),"",H52*(1+IF(H53="",0,H53))^ROUNDDOWN((3-1)/IF(H54="",5,H54),0)))</f>
        <v/>
      </c>
      <c r="S88" s="75" t="str">
        <f aca="false">IF(R88="","",IF((IF(H62="",IF($D$35="",0,$D$35),H62))=0,0,MAX(0,3260613.6-(IF(H63&lt;&gt;"",H63,IF($D$37&lt;&gt;"",$D$37,IF((IF(H62="",IF($D$35="",0,$D$35),H62))=0,0,H52/(IF(H62="",IF($D$35="",0,$D$35),H62)))))))*(IF(H62="",IF($D$35="",0,$D$35),H62))))</f>
        <v/>
      </c>
      <c r="T88" s="75" t="str">
        <f aca="false">IF(R88="","",R88+S88)</f>
        <v/>
      </c>
    </row>
    <row r="89" customFormat="false" ht="15" hidden="false" customHeight="false" outlineLevel="0" collapsed="false">
      <c r="A89" s="74" t="n">
        <v>4</v>
      </c>
      <c r="B89" s="75" t="n">
        <v>3325826</v>
      </c>
      <c r="C89" s="76" t="n">
        <v>34020</v>
      </c>
      <c r="D89" s="76" t="n">
        <v>0</v>
      </c>
      <c r="E89" s="76" t="n">
        <v>34020</v>
      </c>
      <c r="F89" s="75" t="n">
        <f aca="false">IF(D52="","",IF(4&gt;IF(D55="",10,D55),"",D52*(1+IF(D53="",0,D53))^ROUNDDOWN((4-1)/IF(D54="",5,D54),0)))</f>
        <v>34020</v>
      </c>
      <c r="G89" s="75" t="n">
        <f aca="false">IF(F89="","",IF((IF(D62="",IF($D$35="",0,$D$35),D62))=0,0,MAX(0,3325825.87-(IF(D63&lt;&gt;"",D63,IF($D$37&lt;&gt;"",$D$37,IF((IF(D62="",IF($D$35="",0,$D$35),D62))=0,0,D52/(IF(D62="",IF($D$35="",0,$D$35),D62)))))))*(IF(D62="",IF($D$35="",0,$D$35),D62))))</f>
        <v>0</v>
      </c>
      <c r="H89" s="75" t="n">
        <f aca="false">IF(F89="","",F89+G89)</f>
        <v>34020</v>
      </c>
      <c r="I89" s="75" t="str">
        <f aca="false">IF(E52="","",IF(4&gt;IF(E55="",10,E55),"",E52*(1+IF(E53="",0,E53))^ROUNDDOWN((4-1)/IF(E54="",5,E54),0)))</f>
        <v/>
      </c>
      <c r="J89" s="75" t="str">
        <f aca="false">IF(I89="","",IF((IF(E62="",IF($D$35="",0,$D$35),E62))=0,0,MAX(0,3325825.87-(IF(E63&lt;&gt;"",E63,IF($D$37&lt;&gt;"",$D$37,IF((IF(E62="",IF($D$35="",0,$D$35),E62))=0,0,E52/(IF(E62="",IF($D$35="",0,$D$35),E62)))))))*(IF(E62="",IF($D$35="",0,$D$35),E62))))</f>
        <v/>
      </c>
      <c r="K89" s="75" t="str">
        <f aca="false">IF(I89="","",I89+J89)</f>
        <v/>
      </c>
      <c r="L89" s="75" t="str">
        <f aca="false">IF(F52="","",IF(4&gt;IF(F55="",10,F55),"",F52*(1+IF(F53="",0,F53))^ROUNDDOWN((4-1)/IF(F54="",5,F54),0)))</f>
        <v/>
      </c>
      <c r="M89" s="75" t="str">
        <f aca="false">IF(L89="","",IF((IF(F62="",IF($D$35="",0,$D$35),F62))=0,0,MAX(0,3325825.87-(IF(F63&lt;&gt;"",F63,IF($D$37&lt;&gt;"",$D$37,IF((IF(F62="",IF($D$35="",0,$D$35),F62))=0,0,F52/(IF(F62="",IF($D$35="",0,$D$35),F62)))))))*(IF(F62="",IF($D$35="",0,$D$35),F62))))</f>
        <v/>
      </c>
      <c r="N89" s="75" t="str">
        <f aca="false">IF(L89="","",L89+M89)</f>
        <v/>
      </c>
      <c r="O89" s="75" t="str">
        <f aca="false">IF(G52="","",IF(4&gt;IF(G55="",10,G55),"",G52*(1+IF(G53="",0,G53))^ROUNDDOWN((4-1)/IF(G54="",5,G54),0)))</f>
        <v/>
      </c>
      <c r="P89" s="75" t="str">
        <f aca="false">IF(O89="","",IF((IF(G62="",IF($D$35="",0,$D$35),G62))=0,0,MAX(0,3325825.87-(IF(G63&lt;&gt;"",G63,IF($D$37&lt;&gt;"",$D$37,IF((IF(G62="",IF($D$35="",0,$D$35),G62))=0,0,G52/(IF(G62="",IF($D$35="",0,$D$35),G62)))))))*(IF(G62="",IF($D$35="",0,$D$35),G62))))</f>
        <v/>
      </c>
      <c r="Q89" s="75" t="str">
        <f aca="false">IF(O89="","",O89+P89)</f>
        <v/>
      </c>
      <c r="R89" s="75" t="str">
        <f aca="false">IF(H52="","",IF(4&gt;IF(H55="",10,H55),"",H52*(1+IF(H53="",0,H53))^ROUNDDOWN((4-1)/IF(H54="",5,H54),0)))</f>
        <v/>
      </c>
      <c r="S89" s="75" t="str">
        <f aca="false">IF(R89="","",IF((IF(H62="",IF($D$35="",0,$D$35),H62))=0,0,MAX(0,3325825.87-(IF(H63&lt;&gt;"",H63,IF($D$37&lt;&gt;"",$D$37,IF((IF(H62="",IF($D$35="",0,$D$35),H62))=0,0,H52/(IF(H62="",IF($D$35="",0,$D$35),H62)))))))*(IF(H62="",IF($D$35="",0,$D$35),H62))))</f>
        <v/>
      </c>
      <c r="T89" s="75" t="str">
        <f aca="false">IF(R89="","",R89+S89)</f>
        <v/>
      </c>
    </row>
    <row r="90" customFormat="false" ht="15" hidden="false" customHeight="false" outlineLevel="0" collapsed="false">
      <c r="A90" s="74" t="n">
        <v>5</v>
      </c>
      <c r="B90" s="75" t="n">
        <v>3392342</v>
      </c>
      <c r="C90" s="76" t="n">
        <v>34020</v>
      </c>
      <c r="D90" s="76" t="n">
        <v>0</v>
      </c>
      <c r="E90" s="76" t="n">
        <v>34020</v>
      </c>
      <c r="F90" s="75" t="n">
        <f aca="false">IF(D52="","",IF(5&gt;IF(D55="",10,D55),"",D52*(1+IF(D53="",0,D53))^ROUNDDOWN((5-1)/IF(D54="",5,D54),0)))</f>
        <v>34020</v>
      </c>
      <c r="G90" s="75" t="n">
        <f aca="false">IF(F90="","",IF((IF(D62="",IF($D$35="",0,$D$35),D62))=0,0,MAX(0,3392342.39-(IF(D63&lt;&gt;"",D63,IF($D$37&lt;&gt;"",$D$37,IF((IF(D62="",IF($D$35="",0,$D$35),D62))=0,0,D52/(IF(D62="",IF($D$35="",0,$D$35),D62)))))))*(IF(D62="",IF($D$35="",0,$D$35),D62))))</f>
        <v>0</v>
      </c>
      <c r="H90" s="75" t="n">
        <f aca="false">IF(F90="","",F90+G90)</f>
        <v>34020</v>
      </c>
      <c r="I90" s="75" t="str">
        <f aca="false">IF(E52="","",IF(5&gt;IF(E55="",10,E55),"",E52*(1+IF(E53="",0,E53))^ROUNDDOWN((5-1)/IF(E54="",5,E54),0)))</f>
        <v/>
      </c>
      <c r="J90" s="75" t="str">
        <f aca="false">IF(I90="","",IF((IF(E62="",IF($D$35="",0,$D$35),E62))=0,0,MAX(0,3392342.39-(IF(E63&lt;&gt;"",E63,IF($D$37&lt;&gt;"",$D$37,IF((IF(E62="",IF($D$35="",0,$D$35),E62))=0,0,E52/(IF(E62="",IF($D$35="",0,$D$35),E62)))))))*(IF(E62="",IF($D$35="",0,$D$35),E62))))</f>
        <v/>
      </c>
      <c r="K90" s="75" t="str">
        <f aca="false">IF(I90="","",I90+J90)</f>
        <v/>
      </c>
      <c r="L90" s="75" t="str">
        <f aca="false">IF(F52="","",IF(5&gt;IF(F55="",10,F55),"",F52*(1+IF(F53="",0,F53))^ROUNDDOWN((5-1)/IF(F54="",5,F54),0)))</f>
        <v/>
      </c>
      <c r="M90" s="75" t="str">
        <f aca="false">IF(L90="","",IF((IF(F62="",IF($D$35="",0,$D$35),F62))=0,0,MAX(0,3392342.39-(IF(F63&lt;&gt;"",F63,IF($D$37&lt;&gt;"",$D$37,IF((IF(F62="",IF($D$35="",0,$D$35),F62))=0,0,F52/(IF(F62="",IF($D$35="",0,$D$35),F62)))))))*(IF(F62="",IF($D$35="",0,$D$35),F62))))</f>
        <v/>
      </c>
      <c r="N90" s="75" t="str">
        <f aca="false">IF(L90="","",L90+M90)</f>
        <v/>
      </c>
      <c r="O90" s="75" t="str">
        <f aca="false">IF(G52="","",IF(5&gt;IF(G55="",10,G55),"",G52*(1+IF(G53="",0,G53))^ROUNDDOWN((5-1)/IF(G54="",5,G54),0)))</f>
        <v/>
      </c>
      <c r="P90" s="75" t="str">
        <f aca="false">IF(O90="","",IF((IF(G62="",IF($D$35="",0,$D$35),G62))=0,0,MAX(0,3392342.39-(IF(G63&lt;&gt;"",G63,IF($D$37&lt;&gt;"",$D$37,IF((IF(G62="",IF($D$35="",0,$D$35),G62))=0,0,G52/(IF(G62="",IF($D$35="",0,$D$35),G62)))))))*(IF(G62="",IF($D$35="",0,$D$35),G62))))</f>
        <v/>
      </c>
      <c r="Q90" s="75" t="str">
        <f aca="false">IF(O90="","",O90+P90)</f>
        <v/>
      </c>
      <c r="R90" s="75" t="str">
        <f aca="false">IF(H52="","",IF(5&gt;IF(H55="",10,H55),"",H52*(1+IF(H53="",0,H53))^ROUNDDOWN((5-1)/IF(H54="",5,H54),0)))</f>
        <v/>
      </c>
      <c r="S90" s="75" t="str">
        <f aca="false">IF(R90="","",IF((IF(H62="",IF($D$35="",0,$D$35),H62))=0,0,MAX(0,3392342.39-(IF(H63&lt;&gt;"",H63,IF($D$37&lt;&gt;"",$D$37,IF((IF(H62="",IF($D$35="",0,$D$35),H62))=0,0,H52/(IF(H62="",IF($D$35="",0,$D$35),H62)))))))*(IF(H62="",IF($D$35="",0,$D$35),H62))))</f>
        <v/>
      </c>
      <c r="T90" s="75" t="str">
        <f aca="false">IF(R90="","",R90+S90)</f>
        <v/>
      </c>
    </row>
    <row r="91" customFormat="false" ht="15" hidden="false" customHeight="false" outlineLevel="0" collapsed="false">
      <c r="A91" s="74" t="n">
        <v>6</v>
      </c>
      <c r="B91" s="75" t="n">
        <v>3460189</v>
      </c>
      <c r="C91" s="76" t="n">
        <v>37428</v>
      </c>
      <c r="D91" s="76" t="n">
        <v>0</v>
      </c>
      <c r="E91" s="76" t="n">
        <v>37428</v>
      </c>
      <c r="F91" s="75" t="n">
        <f aca="false">IF(D52="","",IF(6&gt;IF(D55="",10,D55),"",D52*(1+IF(D53="",0,D53))^ROUNDDOWN((6-1)/IF(D54="",5,D54),0)))</f>
        <v>34700.4</v>
      </c>
      <c r="G91" s="75" t="n">
        <f aca="false">IF(F91="","",IF((IF(D62="",IF($D$35="",0,$D$35),D62))=0,0,MAX(0,3460189.24-(IF(D63&lt;&gt;"",D63,IF($D$37&lt;&gt;"",$D$37,IF((IF(D62="",IF($D$35="",0,$D$35),D62))=0,0,D52/(IF(D62="",IF($D$35="",0,$D$35),D62)))))))*(IF(D62="",IF($D$35="",0,$D$35),D62))))</f>
        <v>0</v>
      </c>
      <c r="H91" s="75" t="n">
        <f aca="false">IF(F91="","",F91+G91)</f>
        <v>34700.4</v>
      </c>
      <c r="I91" s="75" t="str">
        <f aca="false">IF(E52="","",IF(6&gt;IF(E55="",10,E55),"",E52*(1+IF(E53="",0,E53))^ROUNDDOWN((6-1)/IF(E54="",5,E54),0)))</f>
        <v/>
      </c>
      <c r="J91" s="75" t="str">
        <f aca="false">IF(I91="","",IF((IF(E62="",IF($D$35="",0,$D$35),E62))=0,0,MAX(0,3460189.24-(IF(E63&lt;&gt;"",E63,IF($D$37&lt;&gt;"",$D$37,IF((IF(E62="",IF($D$35="",0,$D$35),E62))=0,0,E52/(IF(E62="",IF($D$35="",0,$D$35),E62)))))))*(IF(E62="",IF($D$35="",0,$D$35),E62))))</f>
        <v/>
      </c>
      <c r="K91" s="75" t="str">
        <f aca="false">IF(I91="","",I91+J91)</f>
        <v/>
      </c>
      <c r="L91" s="75" t="str">
        <f aca="false">IF(F52="","",IF(6&gt;IF(F55="",10,F55),"",F52*(1+IF(F53="",0,F53))^ROUNDDOWN((6-1)/IF(F54="",5,F54),0)))</f>
        <v/>
      </c>
      <c r="M91" s="75" t="str">
        <f aca="false">IF(L91="","",IF((IF(F62="",IF($D$35="",0,$D$35),F62))=0,0,MAX(0,3460189.24-(IF(F63&lt;&gt;"",F63,IF($D$37&lt;&gt;"",$D$37,IF((IF(F62="",IF($D$35="",0,$D$35),F62))=0,0,F52/(IF(F62="",IF($D$35="",0,$D$35),F62)))))))*(IF(F62="",IF($D$35="",0,$D$35),F62))))</f>
        <v/>
      </c>
      <c r="N91" s="75" t="str">
        <f aca="false">IF(L91="","",L91+M91)</f>
        <v/>
      </c>
      <c r="O91" s="75" t="str">
        <f aca="false">IF(G52="","",IF(6&gt;IF(G55="",10,G55),"",G52*(1+IF(G53="",0,G53))^ROUNDDOWN((6-1)/IF(G54="",5,G54),0)))</f>
        <v/>
      </c>
      <c r="P91" s="75" t="str">
        <f aca="false">IF(O91="","",IF((IF(G62="",IF($D$35="",0,$D$35),G62))=0,0,MAX(0,3460189.24-(IF(G63&lt;&gt;"",G63,IF($D$37&lt;&gt;"",$D$37,IF((IF(G62="",IF($D$35="",0,$D$35),G62))=0,0,G52/(IF(G62="",IF($D$35="",0,$D$35),G62)))))))*(IF(G62="",IF($D$35="",0,$D$35),G62))))</f>
        <v/>
      </c>
      <c r="Q91" s="75" t="str">
        <f aca="false">IF(O91="","",O91+P91)</f>
        <v/>
      </c>
      <c r="R91" s="75" t="str">
        <f aca="false">IF(H52="","",IF(6&gt;IF(H55="",10,H55),"",H52*(1+IF(H53="",0,H53))^ROUNDDOWN((6-1)/IF(H54="",5,H54),0)))</f>
        <v/>
      </c>
      <c r="S91" s="75" t="str">
        <f aca="false">IF(R91="","",IF((IF(H62="",IF($D$35="",0,$D$35),H62))=0,0,MAX(0,3460189.24-(IF(H63&lt;&gt;"",H63,IF($D$37&lt;&gt;"",$D$37,IF((IF(H62="",IF($D$35="",0,$D$35),H62))=0,0,H52/(IF(H62="",IF($D$35="",0,$D$35),H62)))))))*(IF(H62="",IF($D$35="",0,$D$35),H62))))</f>
        <v/>
      </c>
      <c r="T91" s="75" t="str">
        <f aca="false">IF(R91="","",R91+S91)</f>
        <v/>
      </c>
    </row>
    <row r="92" customFormat="false" ht="15" hidden="false" customHeight="false" outlineLevel="0" collapsed="false">
      <c r="A92" s="74" t="n">
        <v>7</v>
      </c>
      <c r="B92" s="75" t="n">
        <v>3529393</v>
      </c>
      <c r="C92" s="76" t="n">
        <v>37428</v>
      </c>
      <c r="D92" s="76" t="n">
        <v>0</v>
      </c>
      <c r="E92" s="76" t="n">
        <v>37428</v>
      </c>
      <c r="F92" s="75" t="n">
        <f aca="false">IF(D52="","",IF(7&gt;IF(D55="",10,D55),"",D52*(1+IF(D53="",0,D53))^ROUNDDOWN((7-1)/IF(D54="",5,D54),0)))</f>
        <v>34700.4</v>
      </c>
      <c r="G92" s="75" t="n">
        <f aca="false">IF(F92="","",IF((IF(D62="",IF($D$35="",0,$D$35),D62))=0,0,MAX(0,3529393.02-(IF(D63&lt;&gt;"",D63,IF($D$37&lt;&gt;"",$D$37,IF((IF(D62="",IF($D$35="",0,$D$35),D62))=0,0,D52/(IF(D62="",IF($D$35="",0,$D$35),D62)))))))*(IF(D62="",IF($D$35="",0,$D$35),D62))))</f>
        <v>0</v>
      </c>
      <c r="H92" s="75" t="n">
        <f aca="false">IF(F92="","",F92+G92)</f>
        <v>34700.4</v>
      </c>
      <c r="I92" s="75" t="str">
        <f aca="false">IF(E52="","",IF(7&gt;IF(E55="",10,E55),"",E52*(1+IF(E53="",0,E53))^ROUNDDOWN((7-1)/IF(E54="",5,E54),0)))</f>
        <v/>
      </c>
      <c r="J92" s="75" t="str">
        <f aca="false">IF(I92="","",IF((IF(E62="",IF($D$35="",0,$D$35),E62))=0,0,MAX(0,3529393.02-(IF(E63&lt;&gt;"",E63,IF($D$37&lt;&gt;"",$D$37,IF((IF(E62="",IF($D$35="",0,$D$35),E62))=0,0,E52/(IF(E62="",IF($D$35="",0,$D$35),E62)))))))*(IF(E62="",IF($D$35="",0,$D$35),E62))))</f>
        <v/>
      </c>
      <c r="K92" s="75" t="str">
        <f aca="false">IF(I92="","",I92+J92)</f>
        <v/>
      </c>
      <c r="L92" s="75" t="str">
        <f aca="false">IF(F52="","",IF(7&gt;IF(F55="",10,F55),"",F52*(1+IF(F53="",0,F53))^ROUNDDOWN((7-1)/IF(F54="",5,F54),0)))</f>
        <v/>
      </c>
      <c r="M92" s="75" t="str">
        <f aca="false">IF(L92="","",IF((IF(F62="",IF($D$35="",0,$D$35),F62))=0,0,MAX(0,3529393.02-(IF(F63&lt;&gt;"",F63,IF($D$37&lt;&gt;"",$D$37,IF((IF(F62="",IF($D$35="",0,$D$35),F62))=0,0,F52/(IF(F62="",IF($D$35="",0,$D$35),F62)))))))*(IF(F62="",IF($D$35="",0,$D$35),F62))))</f>
        <v/>
      </c>
      <c r="N92" s="75" t="str">
        <f aca="false">IF(L92="","",L92+M92)</f>
        <v/>
      </c>
      <c r="O92" s="75" t="str">
        <f aca="false">IF(G52="","",IF(7&gt;IF(G55="",10,G55),"",G52*(1+IF(G53="",0,G53))^ROUNDDOWN((7-1)/IF(G54="",5,G54),0)))</f>
        <v/>
      </c>
      <c r="P92" s="75" t="str">
        <f aca="false">IF(O92="","",IF((IF(G62="",IF($D$35="",0,$D$35),G62))=0,0,MAX(0,3529393.02-(IF(G63&lt;&gt;"",G63,IF($D$37&lt;&gt;"",$D$37,IF((IF(G62="",IF($D$35="",0,$D$35),G62))=0,0,G52/(IF(G62="",IF($D$35="",0,$D$35),G62)))))))*(IF(G62="",IF($D$35="",0,$D$35),G62))))</f>
        <v/>
      </c>
      <c r="Q92" s="75" t="str">
        <f aca="false">IF(O92="","",O92+P92)</f>
        <v/>
      </c>
      <c r="R92" s="75" t="str">
        <f aca="false">IF(H52="","",IF(7&gt;IF(H55="",10,H55),"",H52*(1+IF(H53="",0,H53))^ROUNDDOWN((7-1)/IF(H54="",5,H54),0)))</f>
        <v/>
      </c>
      <c r="S92" s="75" t="str">
        <f aca="false">IF(R92="","",IF((IF(H62="",IF($D$35="",0,$D$35),H62))=0,0,MAX(0,3529393.02-(IF(H63&lt;&gt;"",H63,IF($D$37&lt;&gt;"",$D$37,IF((IF(H62="",IF($D$35="",0,$D$35),H62))=0,0,H52/(IF(H62="",IF($D$35="",0,$D$35),H62)))))))*(IF(H62="",IF($D$35="",0,$D$35),H62))))</f>
        <v/>
      </c>
      <c r="T92" s="75" t="str">
        <f aca="false">IF(R92="","",R92+S92)</f>
        <v/>
      </c>
    </row>
    <row r="93" customFormat="false" ht="15" hidden="false" customHeight="false" outlineLevel="0" collapsed="false">
      <c r="A93" s="74" t="n">
        <v>8</v>
      </c>
      <c r="B93" s="75" t="n">
        <v>3599981</v>
      </c>
      <c r="C93" s="76" t="n">
        <v>37428</v>
      </c>
      <c r="D93" s="76" t="n">
        <v>0</v>
      </c>
      <c r="E93" s="76" t="n">
        <v>37428</v>
      </c>
      <c r="F93" s="75" t="n">
        <f aca="false">IF(D52="","",IF(8&gt;IF(D55="",10,D55),"",D52*(1+IF(D53="",0,D53))^ROUNDDOWN((8-1)/IF(D54="",5,D54),0)))</f>
        <v>34700.4</v>
      </c>
      <c r="G93" s="75" t="n">
        <f aca="false">IF(F93="","",IF((IF(D62="",IF($D$35="",0,$D$35),D62))=0,0,MAX(0,3599980.88-(IF(D63&lt;&gt;"",D63,IF($D$37&lt;&gt;"",$D$37,IF((IF(D62="",IF($D$35="",0,$D$35),D62))=0,0,D52/(IF(D62="",IF($D$35="",0,$D$35),D62)))))))*(IF(D62="",IF($D$35="",0,$D$35),D62))))</f>
        <v>0</v>
      </c>
      <c r="H93" s="75" t="n">
        <f aca="false">IF(F93="","",F93+G93)</f>
        <v>34700.4</v>
      </c>
      <c r="I93" s="75" t="str">
        <f aca="false">IF(E52="","",IF(8&gt;IF(E55="",10,E55),"",E52*(1+IF(E53="",0,E53))^ROUNDDOWN((8-1)/IF(E54="",5,E54),0)))</f>
        <v/>
      </c>
      <c r="J93" s="75" t="str">
        <f aca="false">IF(I93="","",IF((IF(E62="",IF($D$35="",0,$D$35),E62))=0,0,MAX(0,3599980.88-(IF(E63&lt;&gt;"",E63,IF($D$37&lt;&gt;"",$D$37,IF((IF(E62="",IF($D$35="",0,$D$35),E62))=0,0,E52/(IF(E62="",IF($D$35="",0,$D$35),E62)))))))*(IF(E62="",IF($D$35="",0,$D$35),E62))))</f>
        <v/>
      </c>
      <c r="K93" s="75" t="str">
        <f aca="false">IF(I93="","",I93+J93)</f>
        <v/>
      </c>
      <c r="L93" s="75" t="str">
        <f aca="false">IF(F52="","",IF(8&gt;IF(F55="",10,F55),"",F52*(1+IF(F53="",0,F53))^ROUNDDOWN((8-1)/IF(F54="",5,F54),0)))</f>
        <v/>
      </c>
      <c r="M93" s="75" t="str">
        <f aca="false">IF(L93="","",IF((IF(F62="",IF($D$35="",0,$D$35),F62))=0,0,MAX(0,3599980.88-(IF(F63&lt;&gt;"",F63,IF($D$37&lt;&gt;"",$D$37,IF((IF(F62="",IF($D$35="",0,$D$35),F62))=0,0,F52/(IF(F62="",IF($D$35="",0,$D$35),F62)))))))*(IF(F62="",IF($D$35="",0,$D$35),F62))))</f>
        <v/>
      </c>
      <c r="N93" s="75" t="str">
        <f aca="false">IF(L93="","",L93+M93)</f>
        <v/>
      </c>
      <c r="O93" s="75" t="str">
        <f aca="false">IF(G52="","",IF(8&gt;IF(G55="",10,G55),"",G52*(1+IF(G53="",0,G53))^ROUNDDOWN((8-1)/IF(G54="",5,G54),0)))</f>
        <v/>
      </c>
      <c r="P93" s="75" t="str">
        <f aca="false">IF(O93="","",IF((IF(G62="",IF($D$35="",0,$D$35),G62))=0,0,MAX(0,3599980.88-(IF(G63&lt;&gt;"",G63,IF($D$37&lt;&gt;"",$D$37,IF((IF(G62="",IF($D$35="",0,$D$35),G62))=0,0,G52/(IF(G62="",IF($D$35="",0,$D$35),G62)))))))*(IF(G62="",IF($D$35="",0,$D$35),G62))))</f>
        <v/>
      </c>
      <c r="Q93" s="75" t="str">
        <f aca="false">IF(O93="","",O93+P93)</f>
        <v/>
      </c>
      <c r="R93" s="75" t="str">
        <f aca="false">IF(H52="","",IF(8&gt;IF(H55="",10,H55),"",H52*(1+IF(H53="",0,H53))^ROUNDDOWN((8-1)/IF(H54="",5,H54),0)))</f>
        <v/>
      </c>
      <c r="S93" s="75" t="str">
        <f aca="false">IF(R93="","",IF((IF(H62="",IF($D$35="",0,$D$35),H62))=0,0,MAX(0,3599980.88-(IF(H63&lt;&gt;"",H63,IF($D$37&lt;&gt;"",$D$37,IF((IF(H62="",IF($D$35="",0,$D$35),H62))=0,0,H52/(IF(H62="",IF($D$35="",0,$D$35),H62)))))))*(IF(H62="",IF($D$35="",0,$D$35),H62))))</f>
        <v/>
      </c>
      <c r="T93" s="75" t="str">
        <f aca="false">IF(R93="","",R93+S93)</f>
        <v/>
      </c>
    </row>
    <row r="94" customFormat="false" ht="15" hidden="false" customHeight="false" outlineLevel="0" collapsed="false">
      <c r="A94" s="74" t="n">
        <v>9</v>
      </c>
      <c r="B94" s="75" t="n">
        <v>3671981</v>
      </c>
      <c r="C94" s="76" t="n">
        <v>37428</v>
      </c>
      <c r="D94" s="76" t="n">
        <v>0</v>
      </c>
      <c r="E94" s="76" t="n">
        <v>37428</v>
      </c>
      <c r="F94" s="75" t="n">
        <f aca="false">IF(D52="","",IF(9&gt;IF(D55="",10,D55),"",D52*(1+IF(D53="",0,D53))^ROUNDDOWN((9-1)/IF(D54="",5,D54),0)))</f>
        <v>34700.4</v>
      </c>
      <c r="G94" s="75" t="n">
        <f aca="false">IF(F94="","",IF((IF(D62="",IF($D$35="",0,$D$35),D62))=0,0,MAX(0,3671980.5-(IF(D63&lt;&gt;"",D63,IF($D$37&lt;&gt;"",$D$37,IF((IF(D62="",IF($D$35="",0,$D$35),D62))=0,0,D52/(IF(D62="",IF($D$35="",0,$D$35),D62)))))))*(IF(D62="",IF($D$35="",0,$D$35),D62))))</f>
        <v>0</v>
      </c>
      <c r="H94" s="75" t="n">
        <f aca="false">IF(F94="","",F94+G94)</f>
        <v>34700.4</v>
      </c>
      <c r="I94" s="75" t="str">
        <f aca="false">IF(E52="","",IF(9&gt;IF(E55="",10,E55),"",E52*(1+IF(E53="",0,E53))^ROUNDDOWN((9-1)/IF(E54="",5,E54),0)))</f>
        <v/>
      </c>
      <c r="J94" s="75" t="str">
        <f aca="false">IF(I94="","",IF((IF(E62="",IF($D$35="",0,$D$35),E62))=0,0,MAX(0,3671980.5-(IF(E63&lt;&gt;"",E63,IF($D$37&lt;&gt;"",$D$37,IF((IF(E62="",IF($D$35="",0,$D$35),E62))=0,0,E52/(IF(E62="",IF($D$35="",0,$D$35),E62)))))))*(IF(E62="",IF($D$35="",0,$D$35),E62))))</f>
        <v/>
      </c>
      <c r="K94" s="75" t="str">
        <f aca="false">IF(I94="","",I94+J94)</f>
        <v/>
      </c>
      <c r="L94" s="75" t="str">
        <f aca="false">IF(F52="","",IF(9&gt;IF(F55="",10,F55),"",F52*(1+IF(F53="",0,F53))^ROUNDDOWN((9-1)/IF(F54="",5,F54),0)))</f>
        <v/>
      </c>
      <c r="M94" s="75" t="str">
        <f aca="false">IF(L94="","",IF((IF(F62="",IF($D$35="",0,$D$35),F62))=0,0,MAX(0,3671980.5-(IF(F63&lt;&gt;"",F63,IF($D$37&lt;&gt;"",$D$37,IF((IF(F62="",IF($D$35="",0,$D$35),F62))=0,0,F52/(IF(F62="",IF($D$35="",0,$D$35),F62)))))))*(IF(F62="",IF($D$35="",0,$D$35),F62))))</f>
        <v/>
      </c>
      <c r="N94" s="75" t="str">
        <f aca="false">IF(L94="","",L94+M94)</f>
        <v/>
      </c>
      <c r="O94" s="75" t="str">
        <f aca="false">IF(G52="","",IF(9&gt;IF(G55="",10,G55),"",G52*(1+IF(G53="",0,G53))^ROUNDDOWN((9-1)/IF(G54="",5,G54),0)))</f>
        <v/>
      </c>
      <c r="P94" s="75" t="str">
        <f aca="false">IF(O94="","",IF((IF(G62="",IF($D$35="",0,$D$35),G62))=0,0,MAX(0,3671980.5-(IF(G63&lt;&gt;"",G63,IF($D$37&lt;&gt;"",$D$37,IF((IF(G62="",IF($D$35="",0,$D$35),G62))=0,0,G52/(IF(G62="",IF($D$35="",0,$D$35),G62)))))))*(IF(G62="",IF($D$35="",0,$D$35),G62))))</f>
        <v/>
      </c>
      <c r="Q94" s="75" t="str">
        <f aca="false">IF(O94="","",O94+P94)</f>
        <v/>
      </c>
      <c r="R94" s="75" t="str">
        <f aca="false">IF(H52="","",IF(9&gt;IF(H55="",10,H55),"",H52*(1+IF(H53="",0,H53))^ROUNDDOWN((9-1)/IF(H54="",5,H54),0)))</f>
        <v/>
      </c>
      <c r="S94" s="75" t="str">
        <f aca="false">IF(R94="","",IF((IF(H62="",IF($D$35="",0,$D$35),H62))=0,0,MAX(0,3671980.5-(IF(H63&lt;&gt;"",H63,IF($D$37&lt;&gt;"",$D$37,IF((IF(H62="",IF($D$35="",0,$D$35),H62))=0,0,H52/(IF(H62="",IF($D$35="",0,$D$35),H62)))))))*(IF(H62="",IF($D$35="",0,$D$35),H62))))</f>
        <v/>
      </c>
      <c r="T94" s="75" t="str">
        <f aca="false">IF(R94="","",R94+S94)</f>
        <v/>
      </c>
    </row>
    <row r="95" customFormat="false" ht="15" hidden="false" customHeight="false" outlineLevel="0" collapsed="false">
      <c r="A95" s="74" t="n">
        <v>10</v>
      </c>
      <c r="B95" s="75" t="n">
        <v>3745420</v>
      </c>
      <c r="C95" s="76" t="n">
        <v>37428</v>
      </c>
      <c r="D95" s="76" t="n">
        <v>0</v>
      </c>
      <c r="E95" s="76" t="n">
        <v>37428</v>
      </c>
      <c r="F95" s="75" t="n">
        <f aca="false">IF(D52="","",IF(10&gt;IF(D55="",10,D55),"",D52*(1+IF(D53="",0,D53))^ROUNDDOWN((10-1)/IF(D54="",5,D54),0)))</f>
        <v>34700.4</v>
      </c>
      <c r="G95" s="75" t="n">
        <f aca="false">IF(F95="","",IF((IF(D62="",IF($D$35="",0,$D$35),D62))=0,0,MAX(0,3745420.11-(IF(D63&lt;&gt;"",D63,IF($D$37&lt;&gt;"",$D$37,IF((IF(D62="",IF($D$35="",0,$D$35),D62))=0,0,D52/(IF(D62="",IF($D$35="",0,$D$35),D62)))))))*(IF(D62="",IF($D$35="",0,$D$35),D62))))</f>
        <v>0</v>
      </c>
      <c r="H95" s="75" t="n">
        <f aca="false">IF(F95="","",F95+G95)</f>
        <v>34700.4</v>
      </c>
      <c r="I95" s="75" t="str">
        <f aca="false">IF(E52="","",IF(10&gt;IF(E55="",10,E55),"",E52*(1+IF(E53="",0,E53))^ROUNDDOWN((10-1)/IF(E54="",5,E54),0)))</f>
        <v/>
      </c>
      <c r="J95" s="75" t="str">
        <f aca="false">IF(I95="","",IF((IF(E62="",IF($D$35="",0,$D$35),E62))=0,0,MAX(0,3745420.11-(IF(E63&lt;&gt;"",E63,IF($D$37&lt;&gt;"",$D$37,IF((IF(E62="",IF($D$35="",0,$D$35),E62))=0,0,E52/(IF(E62="",IF($D$35="",0,$D$35),E62)))))))*(IF(E62="",IF($D$35="",0,$D$35),E62))))</f>
        <v/>
      </c>
      <c r="K95" s="75" t="str">
        <f aca="false">IF(I95="","",I95+J95)</f>
        <v/>
      </c>
      <c r="L95" s="75" t="str">
        <f aca="false">IF(F52="","",IF(10&gt;IF(F55="",10,F55),"",F52*(1+IF(F53="",0,F53))^ROUNDDOWN((10-1)/IF(F54="",5,F54),0)))</f>
        <v/>
      </c>
      <c r="M95" s="75" t="str">
        <f aca="false">IF(L95="","",IF((IF(F62="",IF($D$35="",0,$D$35),F62))=0,0,MAX(0,3745420.11-(IF(F63&lt;&gt;"",F63,IF($D$37&lt;&gt;"",$D$37,IF((IF(F62="",IF($D$35="",0,$D$35),F62))=0,0,F52/(IF(F62="",IF($D$35="",0,$D$35),F62)))))))*(IF(F62="",IF($D$35="",0,$D$35),F62))))</f>
        <v/>
      </c>
      <c r="N95" s="75" t="str">
        <f aca="false">IF(L95="","",L95+M95)</f>
        <v/>
      </c>
      <c r="O95" s="75" t="str">
        <f aca="false">IF(G52="","",IF(10&gt;IF(G55="",10,G55),"",G52*(1+IF(G53="",0,G53))^ROUNDDOWN((10-1)/IF(G54="",5,G54),0)))</f>
        <v/>
      </c>
      <c r="P95" s="75" t="str">
        <f aca="false">IF(O95="","",IF((IF(G62="",IF($D$35="",0,$D$35),G62))=0,0,MAX(0,3745420.11-(IF(G63&lt;&gt;"",G63,IF($D$37&lt;&gt;"",$D$37,IF((IF(G62="",IF($D$35="",0,$D$35),G62))=0,0,G52/(IF(G62="",IF($D$35="",0,$D$35),G62)))))))*(IF(G62="",IF($D$35="",0,$D$35),G62))))</f>
        <v/>
      </c>
      <c r="Q95" s="75" t="str">
        <f aca="false">IF(O95="","",O95+P95)</f>
        <v/>
      </c>
      <c r="R95" s="75" t="str">
        <f aca="false">IF(H52="","",IF(10&gt;IF(H55="",10,H55),"",H52*(1+IF(H53="",0,H53))^ROUNDDOWN((10-1)/IF(H54="",5,H54),0)))</f>
        <v/>
      </c>
      <c r="S95" s="75" t="str">
        <f aca="false">IF(R95="","",IF((IF(H62="",IF($D$35="",0,$D$35),H62))=0,0,MAX(0,3745420.11-(IF(H63&lt;&gt;"",H63,IF($D$37&lt;&gt;"",$D$37,IF((IF(H62="",IF($D$35="",0,$D$35),H62))=0,0,H52/(IF(H62="",IF($D$35="",0,$D$35),H62)))))))*(IF(H62="",IF($D$35="",0,$D$35),H62))))</f>
        <v/>
      </c>
      <c r="T95" s="75" t="str">
        <f aca="false">IF(R95="","",R95+S95)</f>
        <v/>
      </c>
    </row>
    <row r="96" customFormat="false" ht="15" hidden="false" customHeight="false" outlineLevel="0" collapsed="false">
      <c r="A96" s="74" t="n">
        <v>11</v>
      </c>
      <c r="B96" s="75" t="n">
        <v>3820329</v>
      </c>
      <c r="C96" s="76" t="n">
        <v>41177</v>
      </c>
      <c r="D96" s="76" t="n">
        <v>0</v>
      </c>
      <c r="E96" s="76" t="n">
        <v>41177</v>
      </c>
      <c r="F96" s="75" t="n">
        <f aca="false">IF(D52="","",IF(11&gt;IF(D55="",10,D55),"",D52*(1+IF(D53="",0,D53))^ROUNDDOWN((11-1)/IF(D54="",5,D54),0)))</f>
        <v>35394.408</v>
      </c>
      <c r="G96" s="75" t="n">
        <f aca="false">IF(F96="","",IF((IF(D62="",IF($D$35="",0,$D$35),D62))=0,0,MAX(0,3820328.51-(IF(D63&lt;&gt;"",D63,IF($D$37&lt;&gt;"",$D$37,IF((IF(D62="",IF($D$35="",0,$D$35),D62))=0,0,D52/(IF(D62="",IF($D$35="",0,$D$35),D62)))))))*(IF(D62="",IF($D$35="",0,$D$35),D62))))</f>
        <v>0</v>
      </c>
      <c r="H96" s="75" t="n">
        <f aca="false">IF(F96="","",F96+G96)</f>
        <v>35394.408</v>
      </c>
      <c r="I96" s="75" t="str">
        <f aca="false">IF(E52="","",IF(11&gt;IF(E55="",10,E55),"",E52*(1+IF(E53="",0,E53))^ROUNDDOWN((11-1)/IF(E54="",5,E54),0)))</f>
        <v/>
      </c>
      <c r="J96" s="75" t="str">
        <f aca="false">IF(I96="","",IF((IF(E62="",IF($D$35="",0,$D$35),E62))=0,0,MAX(0,3820328.51-(IF(E63&lt;&gt;"",E63,IF($D$37&lt;&gt;"",$D$37,IF((IF(E62="",IF($D$35="",0,$D$35),E62))=0,0,E52/(IF(E62="",IF($D$35="",0,$D$35),E62)))))))*(IF(E62="",IF($D$35="",0,$D$35),E62))))</f>
        <v/>
      </c>
      <c r="K96" s="75" t="str">
        <f aca="false">IF(I96="","",I96+J96)</f>
        <v/>
      </c>
      <c r="L96" s="75" t="str">
        <f aca="false">IF(F52="","",IF(11&gt;IF(F55="",10,F55),"",F52*(1+IF(F53="",0,F53))^ROUNDDOWN((11-1)/IF(F54="",5,F54),0)))</f>
        <v/>
      </c>
      <c r="M96" s="75" t="str">
        <f aca="false">IF(L96="","",IF((IF(F62="",IF($D$35="",0,$D$35),F62))=0,0,MAX(0,3820328.51-(IF(F63&lt;&gt;"",F63,IF($D$37&lt;&gt;"",$D$37,IF((IF(F62="",IF($D$35="",0,$D$35),F62))=0,0,F52/(IF(F62="",IF($D$35="",0,$D$35),F62)))))))*(IF(F62="",IF($D$35="",0,$D$35),F62))))</f>
        <v/>
      </c>
      <c r="N96" s="75" t="str">
        <f aca="false">IF(L96="","",L96+M96)</f>
        <v/>
      </c>
      <c r="O96" s="75" t="str">
        <f aca="false">IF(G52="","",IF(11&gt;IF(G55="",10,G55),"",G52*(1+IF(G53="",0,G53))^ROUNDDOWN((11-1)/IF(G54="",5,G54),0)))</f>
        <v/>
      </c>
      <c r="P96" s="75" t="str">
        <f aca="false">IF(O96="","",IF((IF(G62="",IF($D$35="",0,$D$35),G62))=0,0,MAX(0,3820328.51-(IF(G63&lt;&gt;"",G63,IF($D$37&lt;&gt;"",$D$37,IF((IF(G62="",IF($D$35="",0,$D$35),G62))=0,0,G52/(IF(G62="",IF($D$35="",0,$D$35),G62)))))))*(IF(G62="",IF($D$35="",0,$D$35),G62))))</f>
        <v/>
      </c>
      <c r="Q96" s="75" t="str">
        <f aca="false">IF(O96="","",O96+P96)</f>
        <v/>
      </c>
      <c r="R96" s="75" t="str">
        <f aca="false">IF(H52="","",IF(11&gt;IF(H55="",10,H55),"",H52*(1+IF(H53="",0,H53))^ROUNDDOWN((11-1)/IF(H54="",5,H54),0)))</f>
        <v/>
      </c>
      <c r="S96" s="75" t="str">
        <f aca="false">IF(R96="","",IF((IF(H62="",IF($D$35="",0,$D$35),H62))=0,0,MAX(0,3820328.51-(IF(H63&lt;&gt;"",H63,IF($D$37&lt;&gt;"",$D$37,IF((IF(H62="",IF($D$35="",0,$D$35),H62))=0,0,H52/(IF(H62="",IF($D$35="",0,$D$35),H62)))))))*(IF(H62="",IF($D$35="",0,$D$35),H62))))</f>
        <v/>
      </c>
      <c r="T96" s="75" t="str">
        <f aca="false">IF(R96="","",R96+S96)</f>
        <v/>
      </c>
    </row>
    <row r="97" customFormat="false" ht="15" hidden="false" customHeight="false" outlineLevel="0" collapsed="false">
      <c r="A97" s="74" t="n">
        <v>12</v>
      </c>
      <c r="B97" s="75" t="n">
        <v>3896735</v>
      </c>
      <c r="C97" s="76" t="n">
        <v>41177</v>
      </c>
      <c r="D97" s="76" t="n">
        <v>0</v>
      </c>
      <c r="E97" s="76" t="n">
        <v>41177</v>
      </c>
      <c r="F97" s="75" t="n">
        <f aca="false">IF(D52="","",IF(12&gt;IF(D55="",10,D55),"",D52*(1+IF(D53="",0,D53))^ROUNDDOWN((12-1)/IF(D54="",5,D54),0)))</f>
        <v>35394.408</v>
      </c>
      <c r="G97" s="75" t="n">
        <f aca="false">IF(F97="","",IF((IF(D62="",IF($D$35="",0,$D$35),D62))=0,0,MAX(0,3896735.08-(IF(D63&lt;&gt;"",D63,IF($D$37&lt;&gt;"",$D$37,IF((IF(D62="",IF($D$35="",0,$D$35),D62))=0,0,D52/(IF(D62="",IF($D$35="",0,$D$35),D62)))))))*(IF(D62="",IF($D$35="",0,$D$35),D62))))</f>
        <v>0</v>
      </c>
      <c r="H97" s="75" t="n">
        <f aca="false">IF(F97="","",F97+G97)</f>
        <v>35394.408</v>
      </c>
      <c r="I97" s="75" t="str">
        <f aca="false">IF(E52="","",IF(12&gt;IF(E55="",10,E55),"",E52*(1+IF(E53="",0,E53))^ROUNDDOWN((12-1)/IF(E54="",5,E54),0)))</f>
        <v/>
      </c>
      <c r="J97" s="75" t="str">
        <f aca="false">IF(I97="","",IF((IF(E62="",IF($D$35="",0,$D$35),E62))=0,0,MAX(0,3896735.08-(IF(E63&lt;&gt;"",E63,IF($D$37&lt;&gt;"",$D$37,IF((IF(E62="",IF($D$35="",0,$D$35),E62))=0,0,E52/(IF(E62="",IF($D$35="",0,$D$35),E62)))))))*(IF(E62="",IF($D$35="",0,$D$35),E62))))</f>
        <v/>
      </c>
      <c r="K97" s="75" t="str">
        <f aca="false">IF(I97="","",I97+J97)</f>
        <v/>
      </c>
      <c r="L97" s="75" t="str">
        <f aca="false">IF(F52="","",IF(12&gt;IF(F55="",10,F55),"",F52*(1+IF(F53="",0,F53))^ROUNDDOWN((12-1)/IF(F54="",5,F54),0)))</f>
        <v/>
      </c>
      <c r="M97" s="75" t="str">
        <f aca="false">IF(L97="","",IF((IF(F62="",IF($D$35="",0,$D$35),F62))=0,0,MAX(0,3896735.08-(IF(F63&lt;&gt;"",F63,IF($D$37&lt;&gt;"",$D$37,IF((IF(F62="",IF($D$35="",0,$D$35),F62))=0,0,F52/(IF(F62="",IF($D$35="",0,$D$35),F62)))))))*(IF(F62="",IF($D$35="",0,$D$35),F62))))</f>
        <v/>
      </c>
      <c r="N97" s="75" t="str">
        <f aca="false">IF(L97="","",L97+M97)</f>
        <v/>
      </c>
      <c r="O97" s="75" t="str">
        <f aca="false">IF(G52="","",IF(12&gt;IF(G55="",10,G55),"",G52*(1+IF(G53="",0,G53))^ROUNDDOWN((12-1)/IF(G54="",5,G54),0)))</f>
        <v/>
      </c>
      <c r="P97" s="75" t="str">
        <f aca="false">IF(O97="","",IF((IF(G62="",IF($D$35="",0,$D$35),G62))=0,0,MAX(0,3896735.08-(IF(G63&lt;&gt;"",G63,IF($D$37&lt;&gt;"",$D$37,IF((IF(G62="",IF($D$35="",0,$D$35),G62))=0,0,G52/(IF(G62="",IF($D$35="",0,$D$35),G62)))))))*(IF(G62="",IF($D$35="",0,$D$35),G62))))</f>
        <v/>
      </c>
      <c r="Q97" s="75" t="str">
        <f aca="false">IF(O97="","",O97+P97)</f>
        <v/>
      </c>
      <c r="R97" s="75" t="str">
        <f aca="false">IF(H52="","",IF(12&gt;IF(H55="",10,H55),"",H52*(1+IF(H53="",0,H53))^ROUNDDOWN((12-1)/IF(H54="",5,H54),0)))</f>
        <v/>
      </c>
      <c r="S97" s="75" t="str">
        <f aca="false">IF(R97="","",IF((IF(H62="",IF($D$35="",0,$D$35),H62))=0,0,MAX(0,3896735.08-(IF(H63&lt;&gt;"",H63,IF($D$37&lt;&gt;"",$D$37,IF((IF(H62="",IF($D$35="",0,$D$35),H62))=0,0,H52/(IF(H62="",IF($D$35="",0,$D$35),H62)))))))*(IF(H62="",IF($D$35="",0,$D$35),H62))))</f>
        <v/>
      </c>
      <c r="T97" s="75" t="str">
        <f aca="false">IF(R97="","",R97+S97)</f>
        <v/>
      </c>
    </row>
    <row r="98" customFormat="false" ht="15" hidden="false" customHeight="false" outlineLevel="0" collapsed="false">
      <c r="A98" s="74" t="n">
        <v>13</v>
      </c>
      <c r="B98" s="75" t="n">
        <v>3974670</v>
      </c>
      <c r="C98" s="76" t="n">
        <v>41177</v>
      </c>
      <c r="D98" s="76" t="n">
        <v>0</v>
      </c>
      <c r="E98" s="76" t="n">
        <v>41177</v>
      </c>
      <c r="F98" s="75" t="n">
        <f aca="false">IF(D52="","",IF(13&gt;IF(D55="",10,D55),"",D52*(1+IF(D53="",0,D53))^ROUNDDOWN((13-1)/IF(D54="",5,D54),0)))</f>
        <v>35394.408</v>
      </c>
      <c r="G98" s="75" t="n">
        <f aca="false">IF(F98="","",IF((IF(D62="",IF($D$35="",0,$D$35),D62))=0,0,MAX(0,3974669.78-(IF(D63&lt;&gt;"",D63,IF($D$37&lt;&gt;"",$D$37,IF((IF(D62="",IF($D$35="",0,$D$35),D62))=0,0,D52/(IF(D62="",IF($D$35="",0,$D$35),D62)))))))*(IF(D62="",IF($D$35="",0,$D$35),D62))))</f>
        <v>0</v>
      </c>
      <c r="H98" s="75" t="n">
        <f aca="false">IF(F98="","",F98+G98)</f>
        <v>35394.408</v>
      </c>
      <c r="I98" s="75" t="str">
        <f aca="false">IF(E52="","",IF(13&gt;IF(E55="",10,E55),"",E52*(1+IF(E53="",0,E53))^ROUNDDOWN((13-1)/IF(E54="",5,E54),0)))</f>
        <v/>
      </c>
      <c r="J98" s="75" t="str">
        <f aca="false">IF(I98="","",IF((IF(E62="",IF($D$35="",0,$D$35),E62))=0,0,MAX(0,3974669.78-(IF(E63&lt;&gt;"",E63,IF($D$37&lt;&gt;"",$D$37,IF((IF(E62="",IF($D$35="",0,$D$35),E62))=0,0,E52/(IF(E62="",IF($D$35="",0,$D$35),E62)))))))*(IF(E62="",IF($D$35="",0,$D$35),E62))))</f>
        <v/>
      </c>
      <c r="K98" s="75" t="str">
        <f aca="false">IF(I98="","",I98+J98)</f>
        <v/>
      </c>
      <c r="L98" s="75" t="str">
        <f aca="false">IF(F52="","",IF(13&gt;IF(F55="",10,F55),"",F52*(1+IF(F53="",0,F53))^ROUNDDOWN((13-1)/IF(F54="",5,F54),0)))</f>
        <v/>
      </c>
      <c r="M98" s="75" t="str">
        <f aca="false">IF(L98="","",IF((IF(F62="",IF($D$35="",0,$D$35),F62))=0,0,MAX(0,3974669.78-(IF(F63&lt;&gt;"",F63,IF($D$37&lt;&gt;"",$D$37,IF((IF(F62="",IF($D$35="",0,$D$35),F62))=0,0,F52/(IF(F62="",IF($D$35="",0,$D$35),F62)))))))*(IF(F62="",IF($D$35="",0,$D$35),F62))))</f>
        <v/>
      </c>
      <c r="N98" s="75" t="str">
        <f aca="false">IF(L98="","",L98+M98)</f>
        <v/>
      </c>
      <c r="O98" s="75" t="str">
        <f aca="false">IF(G52="","",IF(13&gt;IF(G55="",10,G55),"",G52*(1+IF(G53="",0,G53))^ROUNDDOWN((13-1)/IF(G54="",5,G54),0)))</f>
        <v/>
      </c>
      <c r="P98" s="75" t="str">
        <f aca="false">IF(O98="","",IF((IF(G62="",IF($D$35="",0,$D$35),G62))=0,0,MAX(0,3974669.78-(IF(G63&lt;&gt;"",G63,IF($D$37&lt;&gt;"",$D$37,IF((IF(G62="",IF($D$35="",0,$D$35),G62))=0,0,G52/(IF(G62="",IF($D$35="",0,$D$35),G62)))))))*(IF(G62="",IF($D$35="",0,$D$35),G62))))</f>
        <v/>
      </c>
      <c r="Q98" s="75" t="str">
        <f aca="false">IF(O98="","",O98+P98)</f>
        <v/>
      </c>
      <c r="R98" s="75" t="str">
        <f aca="false">IF(H52="","",IF(13&gt;IF(H55="",10,H55),"",H52*(1+IF(H53="",0,H53))^ROUNDDOWN((13-1)/IF(H54="",5,H54),0)))</f>
        <v/>
      </c>
      <c r="S98" s="75" t="str">
        <f aca="false">IF(R98="","",IF((IF(H62="",IF($D$35="",0,$D$35),H62))=0,0,MAX(0,3974669.78-(IF(H63&lt;&gt;"",H63,IF($D$37&lt;&gt;"",$D$37,IF((IF(H62="",IF($D$35="",0,$D$35),H62))=0,0,H52/(IF(H62="",IF($D$35="",0,$D$35),H62)))))))*(IF(H62="",IF($D$35="",0,$D$35),H62))))</f>
        <v/>
      </c>
      <c r="T98" s="75" t="str">
        <f aca="false">IF(R98="","",R98+S98)</f>
        <v/>
      </c>
    </row>
    <row r="99" customFormat="false" ht="15" hidden="false" customHeight="false" outlineLevel="0" collapsed="false">
      <c r="A99" s="74" t="n">
        <v>14</v>
      </c>
      <c r="B99" s="75" t="n">
        <v>4054163</v>
      </c>
      <c r="C99" s="76" t="n">
        <v>41177</v>
      </c>
      <c r="D99" s="76" t="n">
        <v>0</v>
      </c>
      <c r="E99" s="76" t="n">
        <v>41177</v>
      </c>
      <c r="F99" s="75" t="n">
        <f aca="false">IF(D52="","",IF(14&gt;IF(D55="",10,D55),"",D52*(1+IF(D53="",0,D53))^ROUNDDOWN((14-1)/IF(D54="",5,D54),0)))</f>
        <v>35394.408</v>
      </c>
      <c r="G99" s="75" t="n">
        <f aca="false">IF(F99="","",IF((IF(D62="",IF($D$35="",0,$D$35),D62))=0,0,MAX(0,4054163.18-(IF(D63&lt;&gt;"",D63,IF($D$37&lt;&gt;"",$D$37,IF((IF(D62="",IF($D$35="",0,$D$35),D62))=0,0,D52/(IF(D62="",IF($D$35="",0,$D$35),D62)))))))*(IF(D62="",IF($D$35="",0,$D$35),D62))))</f>
        <v>0</v>
      </c>
      <c r="H99" s="75" t="n">
        <f aca="false">IF(F99="","",F99+G99)</f>
        <v>35394.408</v>
      </c>
      <c r="I99" s="75" t="str">
        <f aca="false">IF(E52="","",IF(14&gt;IF(E55="",10,E55),"",E52*(1+IF(E53="",0,E53))^ROUNDDOWN((14-1)/IF(E54="",5,E54),0)))</f>
        <v/>
      </c>
      <c r="J99" s="75" t="str">
        <f aca="false">IF(I99="","",IF((IF(E62="",IF($D$35="",0,$D$35),E62))=0,0,MAX(0,4054163.18-(IF(E63&lt;&gt;"",E63,IF($D$37&lt;&gt;"",$D$37,IF((IF(E62="",IF($D$35="",0,$D$35),E62))=0,0,E52/(IF(E62="",IF($D$35="",0,$D$35),E62)))))))*(IF(E62="",IF($D$35="",0,$D$35),E62))))</f>
        <v/>
      </c>
      <c r="K99" s="75" t="str">
        <f aca="false">IF(I99="","",I99+J99)</f>
        <v/>
      </c>
      <c r="L99" s="75" t="str">
        <f aca="false">IF(F52="","",IF(14&gt;IF(F55="",10,F55),"",F52*(1+IF(F53="",0,F53))^ROUNDDOWN((14-1)/IF(F54="",5,F54),0)))</f>
        <v/>
      </c>
      <c r="M99" s="75" t="str">
        <f aca="false">IF(L99="","",IF((IF(F62="",IF($D$35="",0,$D$35),F62))=0,0,MAX(0,4054163.18-(IF(F63&lt;&gt;"",F63,IF($D$37&lt;&gt;"",$D$37,IF((IF(F62="",IF($D$35="",0,$D$35),F62))=0,0,F52/(IF(F62="",IF($D$35="",0,$D$35),F62)))))))*(IF(F62="",IF($D$35="",0,$D$35),F62))))</f>
        <v/>
      </c>
      <c r="N99" s="75" t="str">
        <f aca="false">IF(L99="","",L99+M99)</f>
        <v/>
      </c>
      <c r="O99" s="75" t="str">
        <f aca="false">IF(G52="","",IF(14&gt;IF(G55="",10,G55),"",G52*(1+IF(G53="",0,G53))^ROUNDDOWN((14-1)/IF(G54="",5,G54),0)))</f>
        <v/>
      </c>
      <c r="P99" s="75" t="str">
        <f aca="false">IF(O99="","",IF((IF(G62="",IF($D$35="",0,$D$35),G62))=0,0,MAX(0,4054163.18-(IF(G63&lt;&gt;"",G63,IF($D$37&lt;&gt;"",$D$37,IF((IF(G62="",IF($D$35="",0,$D$35),G62))=0,0,G52/(IF(G62="",IF($D$35="",0,$D$35),G62)))))))*(IF(G62="",IF($D$35="",0,$D$35),G62))))</f>
        <v/>
      </c>
      <c r="Q99" s="75" t="str">
        <f aca="false">IF(O99="","",O99+P99)</f>
        <v/>
      </c>
      <c r="R99" s="75" t="str">
        <f aca="false">IF(H52="","",IF(14&gt;IF(H55="",10,H55),"",H52*(1+IF(H53="",0,H53))^ROUNDDOWN((14-1)/IF(H54="",5,H54),0)))</f>
        <v/>
      </c>
      <c r="S99" s="75" t="str">
        <f aca="false">IF(R99="","",IF((IF(H62="",IF($D$35="",0,$D$35),H62))=0,0,MAX(0,4054163.18-(IF(H63&lt;&gt;"",H63,IF($D$37&lt;&gt;"",$D$37,IF((IF(H62="",IF($D$35="",0,$D$35),H62))=0,0,H52/(IF(H62="",IF($D$35="",0,$D$35),H62)))))))*(IF(H62="",IF($D$35="",0,$D$35),H62))))</f>
        <v/>
      </c>
      <c r="T99" s="75" t="str">
        <f aca="false">IF(R99="","",R99+S99)</f>
        <v/>
      </c>
    </row>
    <row r="100" customFormat="false" ht="15" hidden="false" customHeight="false" outlineLevel="0" collapsed="false">
      <c r="A100" s="74" t="n">
        <v>15</v>
      </c>
      <c r="B100" s="75" t="n">
        <v>4135246</v>
      </c>
      <c r="C100" s="76" t="n">
        <v>41177</v>
      </c>
      <c r="D100" s="76" t="n">
        <v>0</v>
      </c>
      <c r="E100" s="76" t="n">
        <v>41177</v>
      </c>
      <c r="F100" s="75" t="n">
        <f aca="false">IF(D52="","",IF(15&gt;IF(D55="",10,D55),"",D52*(1+IF(D53="",0,D53))^ROUNDDOWN((15-1)/IF(D54="",5,D54),0)))</f>
        <v>35394.408</v>
      </c>
      <c r="G100" s="75" t="n">
        <f aca="false">IF(F100="","",IF((IF(D62="",IF($D$35="",0,$D$35),D62))=0,0,MAX(0,4135246.44-(IF(D63&lt;&gt;"",D63,IF($D$37&lt;&gt;"",$D$37,IF((IF(D62="",IF($D$35="",0,$D$35),D62))=0,0,D52/(IF(D62="",IF($D$35="",0,$D$35),D62)))))))*(IF(D62="",IF($D$35="",0,$D$35),D62))))</f>
        <v>0</v>
      </c>
      <c r="H100" s="75" t="n">
        <f aca="false">IF(F100="","",F100+G100)</f>
        <v>35394.408</v>
      </c>
      <c r="I100" s="75" t="str">
        <f aca="false">IF(E52="","",IF(15&gt;IF(E55="",10,E55),"",E52*(1+IF(E53="",0,E53))^ROUNDDOWN((15-1)/IF(E54="",5,E54),0)))</f>
        <v/>
      </c>
      <c r="J100" s="75" t="str">
        <f aca="false">IF(I100="","",IF((IF(E62="",IF($D$35="",0,$D$35),E62))=0,0,MAX(0,4135246.44-(IF(E63&lt;&gt;"",E63,IF($D$37&lt;&gt;"",$D$37,IF((IF(E62="",IF($D$35="",0,$D$35),E62))=0,0,E52/(IF(E62="",IF($D$35="",0,$D$35),E62)))))))*(IF(E62="",IF($D$35="",0,$D$35),E62))))</f>
        <v/>
      </c>
      <c r="K100" s="75" t="str">
        <f aca="false">IF(I100="","",I100+J100)</f>
        <v/>
      </c>
      <c r="L100" s="75" t="str">
        <f aca="false">IF(F52="","",IF(15&gt;IF(F55="",10,F55),"",F52*(1+IF(F53="",0,F53))^ROUNDDOWN((15-1)/IF(F54="",5,F54),0)))</f>
        <v/>
      </c>
      <c r="M100" s="75" t="str">
        <f aca="false">IF(L100="","",IF((IF(F62="",IF($D$35="",0,$D$35),F62))=0,0,MAX(0,4135246.44-(IF(F63&lt;&gt;"",F63,IF($D$37&lt;&gt;"",$D$37,IF((IF(F62="",IF($D$35="",0,$D$35),F62))=0,0,F52/(IF(F62="",IF($D$35="",0,$D$35),F62)))))))*(IF(F62="",IF($D$35="",0,$D$35),F62))))</f>
        <v/>
      </c>
      <c r="N100" s="75" t="str">
        <f aca="false">IF(L100="","",L100+M100)</f>
        <v/>
      </c>
      <c r="O100" s="75" t="str">
        <f aca="false">IF(G52="","",IF(15&gt;IF(G55="",10,G55),"",G52*(1+IF(G53="",0,G53))^ROUNDDOWN((15-1)/IF(G54="",5,G54),0)))</f>
        <v/>
      </c>
      <c r="P100" s="75" t="str">
        <f aca="false">IF(O100="","",IF((IF(G62="",IF($D$35="",0,$D$35),G62))=0,0,MAX(0,4135246.44-(IF(G63&lt;&gt;"",G63,IF($D$37&lt;&gt;"",$D$37,IF((IF(G62="",IF($D$35="",0,$D$35),G62))=0,0,G52/(IF(G62="",IF($D$35="",0,$D$35),G62)))))))*(IF(G62="",IF($D$35="",0,$D$35),G62))))</f>
        <v/>
      </c>
      <c r="Q100" s="75" t="str">
        <f aca="false">IF(O100="","",O100+P100)</f>
        <v/>
      </c>
      <c r="R100" s="75" t="str">
        <f aca="false">IF(H52="","",IF(15&gt;IF(H55="",10,H55),"",H52*(1+IF(H53="",0,H53))^ROUNDDOWN((15-1)/IF(H54="",5,H54),0)))</f>
        <v/>
      </c>
      <c r="S100" s="75" t="str">
        <f aca="false">IF(R100="","",IF((IF(H62="",IF($D$35="",0,$D$35),H62))=0,0,MAX(0,4135246.44-(IF(H63&lt;&gt;"",H63,IF($D$37&lt;&gt;"",$D$37,IF((IF(H62="",IF($D$35="",0,$D$35),H62))=0,0,H52/(IF(H62="",IF($D$35="",0,$D$35),H62)))))))*(IF(H62="",IF($D$35="",0,$D$35),H62))))</f>
        <v/>
      </c>
      <c r="T100" s="75" t="str">
        <f aca="false">IF(R100="","",R100+S100)</f>
        <v/>
      </c>
    </row>
    <row r="101" customFormat="false" ht="15" hidden="false" customHeight="false" outlineLevel="0" collapsed="false">
      <c r="A101" s="74" t="n">
        <v>16</v>
      </c>
      <c r="B101" s="75" t="n">
        <v>4217951</v>
      </c>
      <c r="C101" s="76" t="n">
        <v>45302</v>
      </c>
      <c r="D101" s="76" t="n">
        <v>0</v>
      </c>
      <c r="E101" s="76" t="n">
        <v>45302</v>
      </c>
      <c r="F101" s="75" t="n">
        <f aca="false">IF(D52="","",IF(16&gt;IF(D55="",10,D55),"",D52*(1+IF(D53="",0,D53))^ROUNDDOWN((16-1)/IF(D54="",5,D54),0)))</f>
        <v>36102.29616</v>
      </c>
      <c r="G101" s="75" t="n">
        <f aca="false">IF(F101="","",IF((IF(D62="",IF($D$35="",0,$D$35),D62))=0,0,MAX(0,4217951.37-(IF(D63&lt;&gt;"",D63,IF($D$37&lt;&gt;"",$D$37,IF((IF(D62="",IF($D$35="",0,$D$35),D62))=0,0,D52/(IF(D62="",IF($D$35="",0,$D$35),D62)))))))*(IF(D62="",IF($D$35="",0,$D$35),D62))))</f>
        <v>0</v>
      </c>
      <c r="H101" s="75" t="n">
        <f aca="false">IF(F101="","",F101+G101)</f>
        <v>36102.29616</v>
      </c>
      <c r="I101" s="75" t="str">
        <f aca="false">IF(E52="","",IF(16&gt;IF(E55="",10,E55),"",E52*(1+IF(E53="",0,E53))^ROUNDDOWN((16-1)/IF(E54="",5,E54),0)))</f>
        <v/>
      </c>
      <c r="J101" s="75" t="str">
        <f aca="false">IF(I101="","",IF((IF(E62="",IF($D$35="",0,$D$35),E62))=0,0,MAX(0,4217951.37-(IF(E63&lt;&gt;"",E63,IF($D$37&lt;&gt;"",$D$37,IF((IF(E62="",IF($D$35="",0,$D$35),E62))=0,0,E52/(IF(E62="",IF($D$35="",0,$D$35),E62)))))))*(IF(E62="",IF($D$35="",0,$D$35),E62))))</f>
        <v/>
      </c>
      <c r="K101" s="75" t="str">
        <f aca="false">IF(I101="","",I101+J101)</f>
        <v/>
      </c>
      <c r="L101" s="75" t="str">
        <f aca="false">IF(F52="","",IF(16&gt;IF(F55="",10,F55),"",F52*(1+IF(F53="",0,F53))^ROUNDDOWN((16-1)/IF(F54="",5,F54),0)))</f>
        <v/>
      </c>
      <c r="M101" s="75" t="str">
        <f aca="false">IF(L101="","",IF((IF(F62="",IF($D$35="",0,$D$35),F62))=0,0,MAX(0,4217951.37-(IF(F63&lt;&gt;"",F63,IF($D$37&lt;&gt;"",$D$37,IF((IF(F62="",IF($D$35="",0,$D$35),F62))=0,0,F52/(IF(F62="",IF($D$35="",0,$D$35),F62)))))))*(IF(F62="",IF($D$35="",0,$D$35),F62))))</f>
        <v/>
      </c>
      <c r="N101" s="75" t="str">
        <f aca="false">IF(L101="","",L101+M101)</f>
        <v/>
      </c>
      <c r="O101" s="75" t="str">
        <f aca="false">IF(G52="","",IF(16&gt;IF(G55="",10,G55),"",G52*(1+IF(G53="",0,G53))^ROUNDDOWN((16-1)/IF(G54="",5,G54),0)))</f>
        <v/>
      </c>
      <c r="P101" s="75" t="str">
        <f aca="false">IF(O101="","",IF((IF(G62="",IF($D$35="",0,$D$35),G62))=0,0,MAX(0,4217951.37-(IF(G63&lt;&gt;"",G63,IF($D$37&lt;&gt;"",$D$37,IF((IF(G62="",IF($D$35="",0,$D$35),G62))=0,0,G52/(IF(G62="",IF($D$35="",0,$D$35),G62)))))))*(IF(G62="",IF($D$35="",0,$D$35),G62))))</f>
        <v/>
      </c>
      <c r="Q101" s="75" t="str">
        <f aca="false">IF(O101="","",O101+P101)</f>
        <v/>
      </c>
      <c r="R101" s="75" t="str">
        <f aca="false">IF(H52="","",IF(16&gt;IF(H55="",10,H55),"",H52*(1+IF(H53="",0,H53))^ROUNDDOWN((16-1)/IF(H54="",5,H54),0)))</f>
        <v/>
      </c>
      <c r="S101" s="75" t="str">
        <f aca="false">IF(R101="","",IF((IF(H62="",IF($D$35="",0,$D$35),H62))=0,0,MAX(0,4217951.37-(IF(H63&lt;&gt;"",H63,IF($D$37&lt;&gt;"",$D$37,IF((IF(H62="",IF($D$35="",0,$D$35),H62))=0,0,H52/(IF(H62="",IF($D$35="",0,$D$35),H62)))))))*(IF(H62="",IF($D$35="",0,$D$35),H62))))</f>
        <v/>
      </c>
      <c r="T101" s="75" t="str">
        <f aca="false">IF(R101="","",R101+S101)</f>
        <v/>
      </c>
    </row>
    <row r="102" customFormat="false" ht="15" hidden="false" customHeight="false" outlineLevel="0" collapsed="false">
      <c r="A102" s="74" t="n">
        <v>17</v>
      </c>
      <c r="B102" s="75" t="n">
        <v>4302310</v>
      </c>
      <c r="C102" s="76" t="n">
        <v>45302</v>
      </c>
      <c r="D102" s="76" t="n">
        <v>0</v>
      </c>
      <c r="E102" s="76" t="n">
        <v>45302</v>
      </c>
      <c r="F102" s="75" t="n">
        <f aca="false">IF(D52="","",IF(17&gt;IF(D55="",10,D55),"",D52*(1+IF(D53="",0,D53))^ROUNDDOWN((17-1)/IF(D54="",5,D54),0)))</f>
        <v>36102.29616</v>
      </c>
      <c r="G102" s="75" t="n">
        <f aca="false">IF(F102="","",IF((IF(D62="",IF($D$35="",0,$D$35),D62))=0,0,MAX(0,4302310.4-(IF(D63&lt;&gt;"",D63,IF($D$37&lt;&gt;"",$D$37,IF((IF(D62="",IF($D$35="",0,$D$35),D62))=0,0,D52/(IF(D62="",IF($D$35="",0,$D$35),D62)))))))*(IF(D62="",IF($D$35="",0,$D$35),D62))))</f>
        <v>0</v>
      </c>
      <c r="H102" s="75" t="n">
        <f aca="false">IF(F102="","",F102+G102)</f>
        <v>36102.29616</v>
      </c>
      <c r="I102" s="75" t="str">
        <f aca="false">IF(E52="","",IF(17&gt;IF(E55="",10,E55),"",E52*(1+IF(E53="",0,E53))^ROUNDDOWN((17-1)/IF(E54="",5,E54),0)))</f>
        <v/>
      </c>
      <c r="J102" s="75" t="str">
        <f aca="false">IF(I102="","",IF((IF(E62="",IF($D$35="",0,$D$35),E62))=0,0,MAX(0,4302310.4-(IF(E63&lt;&gt;"",E63,IF($D$37&lt;&gt;"",$D$37,IF((IF(E62="",IF($D$35="",0,$D$35),E62))=0,0,E52/(IF(E62="",IF($D$35="",0,$D$35),E62)))))))*(IF(E62="",IF($D$35="",0,$D$35),E62))))</f>
        <v/>
      </c>
      <c r="K102" s="75" t="str">
        <f aca="false">IF(I102="","",I102+J102)</f>
        <v/>
      </c>
      <c r="L102" s="75" t="str">
        <f aca="false">IF(F52="","",IF(17&gt;IF(F55="",10,F55),"",F52*(1+IF(F53="",0,F53))^ROUNDDOWN((17-1)/IF(F54="",5,F54),0)))</f>
        <v/>
      </c>
      <c r="M102" s="75" t="str">
        <f aca="false">IF(L102="","",IF((IF(F62="",IF($D$35="",0,$D$35),F62))=0,0,MAX(0,4302310.4-(IF(F63&lt;&gt;"",F63,IF($D$37&lt;&gt;"",$D$37,IF((IF(F62="",IF($D$35="",0,$D$35),F62))=0,0,F52/(IF(F62="",IF($D$35="",0,$D$35),F62)))))))*(IF(F62="",IF($D$35="",0,$D$35),F62))))</f>
        <v/>
      </c>
      <c r="N102" s="75" t="str">
        <f aca="false">IF(L102="","",L102+M102)</f>
        <v/>
      </c>
      <c r="O102" s="75" t="str">
        <f aca="false">IF(G52="","",IF(17&gt;IF(G55="",10,G55),"",G52*(1+IF(G53="",0,G53))^ROUNDDOWN((17-1)/IF(G54="",5,G54),0)))</f>
        <v/>
      </c>
      <c r="P102" s="75" t="str">
        <f aca="false">IF(O102="","",IF((IF(G62="",IF($D$35="",0,$D$35),G62))=0,0,MAX(0,4302310.4-(IF(G63&lt;&gt;"",G63,IF($D$37&lt;&gt;"",$D$37,IF((IF(G62="",IF($D$35="",0,$D$35),G62))=0,0,G52/(IF(G62="",IF($D$35="",0,$D$35),G62)))))))*(IF(G62="",IF($D$35="",0,$D$35),G62))))</f>
        <v/>
      </c>
      <c r="Q102" s="75" t="str">
        <f aca="false">IF(O102="","",O102+P102)</f>
        <v/>
      </c>
      <c r="R102" s="75" t="str">
        <f aca="false">IF(H52="","",IF(17&gt;IF(H55="",10,H55),"",H52*(1+IF(H53="",0,H53))^ROUNDDOWN((17-1)/IF(H54="",5,H54),0)))</f>
        <v/>
      </c>
      <c r="S102" s="75" t="str">
        <f aca="false">IF(R102="","",IF((IF(H62="",IF($D$35="",0,$D$35),H62))=0,0,MAX(0,4302310.4-(IF(H63&lt;&gt;"",H63,IF($D$37&lt;&gt;"",$D$37,IF((IF(H62="",IF($D$35="",0,$D$35),H62))=0,0,H52/(IF(H62="",IF($D$35="",0,$D$35),H62)))))))*(IF(H62="",IF($D$35="",0,$D$35),H62))))</f>
        <v/>
      </c>
      <c r="T102" s="75" t="str">
        <f aca="false">IF(R102="","",R102+S102)</f>
        <v/>
      </c>
    </row>
    <row r="103" customFormat="false" ht="15" hidden="false" customHeight="false" outlineLevel="0" collapsed="false">
      <c r="A103" s="74" t="n">
        <v>18</v>
      </c>
      <c r="B103" s="75" t="n">
        <v>4388357</v>
      </c>
      <c r="C103" s="76" t="n">
        <v>45302</v>
      </c>
      <c r="D103" s="76" t="n">
        <v>0</v>
      </c>
      <c r="E103" s="76" t="n">
        <v>45302</v>
      </c>
      <c r="F103" s="75" t="n">
        <f aca="false">IF(D52="","",IF(18&gt;IF(D55="",10,D55),"",D52*(1+IF(D53="",0,D53))^ROUNDDOWN((18-1)/IF(D54="",5,D54),0)))</f>
        <v>36102.29616</v>
      </c>
      <c r="G103" s="75" t="n">
        <f aca="false">IF(F103="","",IF((IF(D62="",IF($D$35="",0,$D$35),D62))=0,0,MAX(0,4388356.61-(IF(D63&lt;&gt;"",D63,IF($D$37&lt;&gt;"",$D$37,IF((IF(D62="",IF($D$35="",0,$D$35),D62))=0,0,D52/(IF(D62="",IF($D$35="",0,$D$35),D62)))))))*(IF(D62="",IF($D$35="",0,$D$35),D62))))</f>
        <v>0</v>
      </c>
      <c r="H103" s="75" t="n">
        <f aca="false">IF(F103="","",F103+G103)</f>
        <v>36102.29616</v>
      </c>
      <c r="I103" s="75" t="str">
        <f aca="false">IF(E52="","",IF(18&gt;IF(E55="",10,E55),"",E52*(1+IF(E53="",0,E53))^ROUNDDOWN((18-1)/IF(E54="",5,E54),0)))</f>
        <v/>
      </c>
      <c r="J103" s="75" t="str">
        <f aca="false">IF(I103="","",IF((IF(E62="",IF($D$35="",0,$D$35),E62))=0,0,MAX(0,4388356.61-(IF(E63&lt;&gt;"",E63,IF($D$37&lt;&gt;"",$D$37,IF((IF(E62="",IF($D$35="",0,$D$35),E62))=0,0,E52/(IF(E62="",IF($D$35="",0,$D$35),E62)))))))*(IF(E62="",IF($D$35="",0,$D$35),E62))))</f>
        <v/>
      </c>
      <c r="K103" s="75" t="str">
        <f aca="false">IF(I103="","",I103+J103)</f>
        <v/>
      </c>
      <c r="L103" s="75" t="str">
        <f aca="false">IF(F52="","",IF(18&gt;IF(F55="",10,F55),"",F52*(1+IF(F53="",0,F53))^ROUNDDOWN((18-1)/IF(F54="",5,F54),0)))</f>
        <v/>
      </c>
      <c r="M103" s="75" t="str">
        <f aca="false">IF(L103="","",IF((IF(F62="",IF($D$35="",0,$D$35),F62))=0,0,MAX(0,4388356.61-(IF(F63&lt;&gt;"",F63,IF($D$37&lt;&gt;"",$D$37,IF((IF(F62="",IF($D$35="",0,$D$35),F62))=0,0,F52/(IF(F62="",IF($D$35="",0,$D$35),F62)))))))*(IF(F62="",IF($D$35="",0,$D$35),F62))))</f>
        <v/>
      </c>
      <c r="N103" s="75" t="str">
        <f aca="false">IF(L103="","",L103+M103)</f>
        <v/>
      </c>
      <c r="O103" s="75" t="str">
        <f aca="false">IF(G52="","",IF(18&gt;IF(G55="",10,G55),"",G52*(1+IF(G53="",0,G53))^ROUNDDOWN((18-1)/IF(G54="",5,G54),0)))</f>
        <v/>
      </c>
      <c r="P103" s="75" t="str">
        <f aca="false">IF(O103="","",IF((IF(G62="",IF($D$35="",0,$D$35),G62))=0,0,MAX(0,4388356.61-(IF(G63&lt;&gt;"",G63,IF($D$37&lt;&gt;"",$D$37,IF((IF(G62="",IF($D$35="",0,$D$35),G62))=0,0,G52/(IF(G62="",IF($D$35="",0,$D$35),G62)))))))*(IF(G62="",IF($D$35="",0,$D$35),G62))))</f>
        <v/>
      </c>
      <c r="Q103" s="75" t="str">
        <f aca="false">IF(O103="","",O103+P103)</f>
        <v/>
      </c>
      <c r="R103" s="75" t="str">
        <f aca="false">IF(H52="","",IF(18&gt;IF(H55="",10,H55),"",H52*(1+IF(H53="",0,H53))^ROUNDDOWN((18-1)/IF(H54="",5,H54),0)))</f>
        <v/>
      </c>
      <c r="S103" s="75" t="str">
        <f aca="false">IF(R103="","",IF((IF(H62="",IF($D$35="",0,$D$35),H62))=0,0,MAX(0,4388356.61-(IF(H63&lt;&gt;"",H63,IF($D$37&lt;&gt;"",$D$37,IF((IF(H62="",IF($D$35="",0,$D$35),H62))=0,0,H52/(IF(H62="",IF($D$35="",0,$D$35),H62)))))))*(IF(H62="",IF($D$35="",0,$D$35),H62))))</f>
        <v/>
      </c>
      <c r="T103" s="75" t="str">
        <f aca="false">IF(R103="","",R103+S103)</f>
        <v/>
      </c>
    </row>
    <row r="104" customFormat="false" ht="15" hidden="false" customHeight="false" outlineLevel="0" collapsed="false">
      <c r="A104" s="74" t="n">
        <v>19</v>
      </c>
      <c r="B104" s="75" t="n">
        <v>4476124</v>
      </c>
      <c r="C104" s="76" t="n">
        <v>45302</v>
      </c>
      <c r="D104" s="76" t="n">
        <v>0</v>
      </c>
      <c r="E104" s="76" t="n">
        <v>45302</v>
      </c>
      <c r="F104" s="75" t="n">
        <f aca="false">IF(D52="","",IF(19&gt;IF(D55="",10,D55),"",D52*(1+IF(D53="",0,D53))^ROUNDDOWN((19-1)/IF(D54="",5,D54),0)))</f>
        <v>36102.29616</v>
      </c>
      <c r="G104" s="75" t="n">
        <f aca="false">IF(F104="","",IF((IF(D62="",IF($D$35="",0,$D$35),D62))=0,0,MAX(0,4476123.74-(IF(D63&lt;&gt;"",D63,IF($D$37&lt;&gt;"",$D$37,IF((IF(D62="",IF($D$35="",0,$D$35),D62))=0,0,D52/(IF(D62="",IF($D$35="",0,$D$35),D62)))))))*(IF(D62="",IF($D$35="",0,$D$35),D62))))</f>
        <v>0</v>
      </c>
      <c r="H104" s="75" t="n">
        <f aca="false">IF(F104="","",F104+G104)</f>
        <v>36102.29616</v>
      </c>
      <c r="I104" s="75" t="str">
        <f aca="false">IF(E52="","",IF(19&gt;IF(E55="",10,E55),"",E52*(1+IF(E53="",0,E53))^ROUNDDOWN((19-1)/IF(E54="",5,E54),0)))</f>
        <v/>
      </c>
      <c r="J104" s="75" t="str">
        <f aca="false">IF(I104="","",IF((IF(E62="",IF($D$35="",0,$D$35),E62))=0,0,MAX(0,4476123.74-(IF(E63&lt;&gt;"",E63,IF($D$37&lt;&gt;"",$D$37,IF((IF(E62="",IF($D$35="",0,$D$35),E62))=0,0,E52/(IF(E62="",IF($D$35="",0,$D$35),E62)))))))*(IF(E62="",IF($D$35="",0,$D$35),E62))))</f>
        <v/>
      </c>
      <c r="K104" s="75" t="str">
        <f aca="false">IF(I104="","",I104+J104)</f>
        <v/>
      </c>
      <c r="L104" s="75" t="str">
        <f aca="false">IF(F52="","",IF(19&gt;IF(F55="",10,F55),"",F52*(1+IF(F53="",0,F53))^ROUNDDOWN((19-1)/IF(F54="",5,F54),0)))</f>
        <v/>
      </c>
      <c r="M104" s="75" t="str">
        <f aca="false">IF(L104="","",IF((IF(F62="",IF($D$35="",0,$D$35),F62))=0,0,MAX(0,4476123.74-(IF(F63&lt;&gt;"",F63,IF($D$37&lt;&gt;"",$D$37,IF((IF(F62="",IF($D$35="",0,$D$35),F62))=0,0,F52/(IF(F62="",IF($D$35="",0,$D$35),F62)))))))*(IF(F62="",IF($D$35="",0,$D$35),F62))))</f>
        <v/>
      </c>
      <c r="N104" s="75" t="str">
        <f aca="false">IF(L104="","",L104+M104)</f>
        <v/>
      </c>
      <c r="O104" s="75" t="str">
        <f aca="false">IF(G52="","",IF(19&gt;IF(G55="",10,G55),"",G52*(1+IF(G53="",0,G53))^ROUNDDOWN((19-1)/IF(G54="",5,G54),0)))</f>
        <v/>
      </c>
      <c r="P104" s="75" t="str">
        <f aca="false">IF(O104="","",IF((IF(G62="",IF($D$35="",0,$D$35),G62))=0,0,MAX(0,4476123.74-(IF(G63&lt;&gt;"",G63,IF($D$37&lt;&gt;"",$D$37,IF((IF(G62="",IF($D$35="",0,$D$35),G62))=0,0,G52/(IF(G62="",IF($D$35="",0,$D$35),G62)))))))*(IF(G62="",IF($D$35="",0,$D$35),G62))))</f>
        <v/>
      </c>
      <c r="Q104" s="75" t="str">
        <f aca="false">IF(O104="","",O104+P104)</f>
        <v/>
      </c>
      <c r="R104" s="75" t="str">
        <f aca="false">IF(H52="","",IF(19&gt;IF(H55="",10,H55),"",H52*(1+IF(H53="",0,H53))^ROUNDDOWN((19-1)/IF(H54="",5,H54),0)))</f>
        <v/>
      </c>
      <c r="S104" s="75" t="str">
        <f aca="false">IF(R104="","",IF((IF(H62="",IF($D$35="",0,$D$35),H62))=0,0,MAX(0,4476123.74-(IF(H63&lt;&gt;"",H63,IF($D$37&lt;&gt;"",$D$37,IF((IF(H62="",IF($D$35="",0,$D$35),H62))=0,0,H52/(IF(H62="",IF($D$35="",0,$D$35),H62)))))))*(IF(H62="",IF($D$35="",0,$D$35),H62))))</f>
        <v/>
      </c>
      <c r="T104" s="75" t="str">
        <f aca="false">IF(R104="","",R104+S104)</f>
        <v/>
      </c>
    </row>
    <row r="105" customFormat="false" ht="15" hidden="false" customHeight="false" outlineLevel="0" collapsed="false">
      <c r="A105" s="74" t="n">
        <v>20</v>
      </c>
      <c r="B105" s="75" t="n">
        <v>4565646</v>
      </c>
      <c r="C105" s="76" t="n">
        <v>45302</v>
      </c>
      <c r="D105" s="76" t="n">
        <v>0</v>
      </c>
      <c r="E105" s="76" t="n">
        <v>45302</v>
      </c>
      <c r="F105" s="75" t="n">
        <f aca="false">IF(D52="","",IF(20&gt;IF(D55="",10,D55),"",D52*(1+IF(D53="",0,D53))^ROUNDDOWN((20-1)/IF(D54="",5,D54),0)))</f>
        <v>36102.29616</v>
      </c>
      <c r="G105" s="75" t="n">
        <f aca="false">IF(F105="","",IF((IF(D62="",IF($D$35="",0,$D$35),D62))=0,0,MAX(0,4565646.21-(IF(D63&lt;&gt;"",D63,IF($D$37&lt;&gt;"",$D$37,IF((IF(D62="",IF($D$35="",0,$D$35),D62))=0,0,D52/(IF(D62="",IF($D$35="",0,$D$35),D62)))))))*(IF(D62="",IF($D$35="",0,$D$35),D62))))</f>
        <v>0</v>
      </c>
      <c r="H105" s="75" t="n">
        <f aca="false">IF(F105="","",F105+G105)</f>
        <v>36102.29616</v>
      </c>
      <c r="I105" s="75" t="str">
        <f aca="false">IF(E52="","",IF(20&gt;IF(E55="",10,E55),"",E52*(1+IF(E53="",0,E53))^ROUNDDOWN((20-1)/IF(E54="",5,E54),0)))</f>
        <v/>
      </c>
      <c r="J105" s="75" t="str">
        <f aca="false">IF(I105="","",IF((IF(E62="",IF($D$35="",0,$D$35),E62))=0,0,MAX(0,4565646.21-(IF(E63&lt;&gt;"",E63,IF($D$37&lt;&gt;"",$D$37,IF((IF(E62="",IF($D$35="",0,$D$35),E62))=0,0,E52/(IF(E62="",IF($D$35="",0,$D$35),E62)))))))*(IF(E62="",IF($D$35="",0,$D$35),E62))))</f>
        <v/>
      </c>
      <c r="K105" s="75" t="str">
        <f aca="false">IF(I105="","",I105+J105)</f>
        <v/>
      </c>
      <c r="L105" s="75" t="str">
        <f aca="false">IF(F52="","",IF(20&gt;IF(F55="",10,F55),"",F52*(1+IF(F53="",0,F53))^ROUNDDOWN((20-1)/IF(F54="",5,F54),0)))</f>
        <v/>
      </c>
      <c r="M105" s="75" t="str">
        <f aca="false">IF(L105="","",IF((IF(F62="",IF($D$35="",0,$D$35),F62))=0,0,MAX(0,4565646.21-(IF(F63&lt;&gt;"",F63,IF($D$37&lt;&gt;"",$D$37,IF((IF(F62="",IF($D$35="",0,$D$35),F62))=0,0,F52/(IF(F62="",IF($D$35="",0,$D$35),F62)))))))*(IF(F62="",IF($D$35="",0,$D$35),F62))))</f>
        <v/>
      </c>
      <c r="N105" s="75" t="str">
        <f aca="false">IF(L105="","",L105+M105)</f>
        <v/>
      </c>
      <c r="O105" s="75" t="str">
        <f aca="false">IF(G52="","",IF(20&gt;IF(G55="",10,G55),"",G52*(1+IF(G53="",0,G53))^ROUNDDOWN((20-1)/IF(G54="",5,G54),0)))</f>
        <v/>
      </c>
      <c r="P105" s="75" t="str">
        <f aca="false">IF(O105="","",IF((IF(G62="",IF($D$35="",0,$D$35),G62))=0,0,MAX(0,4565646.21-(IF(G63&lt;&gt;"",G63,IF($D$37&lt;&gt;"",$D$37,IF((IF(G62="",IF($D$35="",0,$D$35),G62))=0,0,G52/(IF(G62="",IF($D$35="",0,$D$35),G62)))))))*(IF(G62="",IF($D$35="",0,$D$35),G62))))</f>
        <v/>
      </c>
      <c r="Q105" s="75" t="str">
        <f aca="false">IF(O105="","",O105+P105)</f>
        <v/>
      </c>
      <c r="R105" s="75" t="str">
        <f aca="false">IF(H52="","",IF(20&gt;IF(H55="",10,H55),"",H52*(1+IF(H53="",0,H53))^ROUNDDOWN((20-1)/IF(H54="",5,H54),0)))</f>
        <v/>
      </c>
      <c r="S105" s="75" t="str">
        <f aca="false">IF(R105="","",IF((IF(H62="",IF($D$35="",0,$D$35),H62))=0,0,MAX(0,4565646.21-(IF(H63&lt;&gt;"",H63,IF($D$37&lt;&gt;"",$D$37,IF((IF(H62="",IF($D$35="",0,$D$35),H62))=0,0,H52/(IF(H62="",IF($D$35="",0,$D$35),H62)))))))*(IF(H62="",IF($D$35="",0,$D$35),H62))))</f>
        <v/>
      </c>
      <c r="T105" s="75" t="str">
        <f aca="false">IF(R105="","",R105+S105)</f>
        <v/>
      </c>
    </row>
    <row r="106" customFormat="false" ht="15" hidden="false" customHeight="false" outlineLevel="0" collapsed="false">
      <c r="A106" s="77" t="s">
        <v>394</v>
      </c>
      <c r="C106" s="78" t="n">
        <f aca="false">IF(COUNT(C86:C105)=0,"",SUM(C86:C105))</f>
        <v>789635</v>
      </c>
      <c r="D106" s="78" t="n">
        <f aca="false">IF(COUNT(D86:D105)=0,"",SUM(D86:D105))</f>
        <v>0</v>
      </c>
      <c r="E106" s="78" t="n">
        <f aca="false">IF(COUNT(E86:E105)=0,"",SUM(E86:E105))</f>
        <v>789635</v>
      </c>
      <c r="F106" s="78" t="n">
        <f aca="false">IF(COUNT(F86:F105)=0,"",SUM(F86:F105))</f>
        <v>701085.5208</v>
      </c>
      <c r="G106" s="78" t="n">
        <f aca="false">IF(COUNT(G86:G105)=0,"",SUM(G86:G105))</f>
        <v>0</v>
      </c>
      <c r="H106" s="78" t="n">
        <f aca="false">IF(COUNT(H86:H105)=0,"",SUM(H86:H105))</f>
        <v>701085.5208</v>
      </c>
      <c r="I106" s="78" t="str">
        <f aca="false">IF(COUNT(I86:I105)=0,"",SUM(I86:I105))</f>
        <v/>
      </c>
      <c r="J106" s="78" t="str">
        <f aca="false">IF(COUNT(J86:J105)=0,"",SUM(J86:J105))</f>
        <v/>
      </c>
      <c r="K106" s="78" t="str">
        <f aca="false">IF(COUNT(K86:K105)=0,"",SUM(K86:K105))</f>
        <v/>
      </c>
      <c r="L106" s="78" t="str">
        <f aca="false">IF(COUNT(L86:L105)=0,"",SUM(L86:L105))</f>
        <v/>
      </c>
      <c r="M106" s="78" t="str">
        <f aca="false">IF(COUNT(M86:M105)=0,"",SUM(M86:M105))</f>
        <v/>
      </c>
      <c r="N106" s="78" t="str">
        <f aca="false">IF(COUNT(N86:N105)=0,"",SUM(N86:N105))</f>
        <v/>
      </c>
      <c r="O106" s="78" t="str">
        <f aca="false">IF(COUNT(O86:O105)=0,"",SUM(O86:O105))</f>
        <v/>
      </c>
      <c r="P106" s="78" t="str">
        <f aca="false">IF(COUNT(P86:P105)=0,"",SUM(P86:P105))</f>
        <v/>
      </c>
      <c r="Q106" s="78" t="str">
        <f aca="false">IF(COUNT(Q86:Q105)=0,"",SUM(Q86:Q105))</f>
        <v/>
      </c>
      <c r="R106" s="78" t="str">
        <f aca="false">IF(COUNT(R86:R105)=0,"",SUM(R86:R105))</f>
        <v/>
      </c>
      <c r="S106" s="78" t="str">
        <f aca="false">IF(COUNT(S86:S105)=0,"",SUM(S86:S105))</f>
        <v/>
      </c>
      <c r="T106" s="78" t="str">
        <f aca="false">IF(COUNT(T86:T105)=0,"",SUM(T86:T105))</f>
        <v/>
      </c>
    </row>
    <row r="107" customFormat="false" ht="15" hidden="false" customHeight="false" outlineLevel="0" collapsed="false">
      <c r="A107" s="69" t="s">
        <v>395</v>
      </c>
      <c r="B107" s="69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</row>
  </sheetData>
  <mergeCells count="83">
    <mergeCell ref="A2:J2"/>
    <mergeCell ref="A3:J3"/>
    <mergeCell ref="A4:J4"/>
    <mergeCell ref="A5:J5"/>
    <mergeCell ref="A6:J6"/>
    <mergeCell ref="A7:J7"/>
    <mergeCell ref="A8:J8"/>
    <mergeCell ref="A10:C10"/>
    <mergeCell ref="D10:J10"/>
    <mergeCell ref="A11:C11"/>
    <mergeCell ref="D11:J11"/>
    <mergeCell ref="A12:C12"/>
    <mergeCell ref="D12:J12"/>
    <mergeCell ref="A13:C13"/>
    <mergeCell ref="D13:J13"/>
    <mergeCell ref="A14:C14"/>
    <mergeCell ref="D14:J14"/>
    <mergeCell ref="G17:J17"/>
    <mergeCell ref="G18:J18"/>
    <mergeCell ref="G19:J19"/>
    <mergeCell ref="G20:J20"/>
    <mergeCell ref="A21:D21"/>
    <mergeCell ref="A22:J22"/>
    <mergeCell ref="A25:C25"/>
    <mergeCell ref="A26:C26"/>
    <mergeCell ref="E26:J26"/>
    <mergeCell ref="A27:C27"/>
    <mergeCell ref="E27:J27"/>
    <mergeCell ref="A28:C28"/>
    <mergeCell ref="A29:C29"/>
    <mergeCell ref="A30:C30"/>
    <mergeCell ref="E30:J30"/>
    <mergeCell ref="A31:J31"/>
    <mergeCell ref="A32:J32"/>
    <mergeCell ref="A35:C35"/>
    <mergeCell ref="E35:J35"/>
    <mergeCell ref="A36:C36"/>
    <mergeCell ref="E36:J36"/>
    <mergeCell ref="A37:C37"/>
    <mergeCell ref="E37:J37"/>
    <mergeCell ref="A38:C38"/>
    <mergeCell ref="E38:J38"/>
    <mergeCell ref="A39:C39"/>
    <mergeCell ref="A40:C40"/>
    <mergeCell ref="A41:C41"/>
    <mergeCell ref="A42:C42"/>
    <mergeCell ref="A47:G47"/>
    <mergeCell ref="A50:C50"/>
    <mergeCell ref="A51:C51"/>
    <mergeCell ref="A52:C52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2:C62"/>
    <mergeCell ref="A63:C63"/>
    <mergeCell ref="A64:C64"/>
    <mergeCell ref="A65:C65"/>
    <mergeCell ref="A66:C66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7:J77"/>
    <mergeCell ref="A79:J79"/>
    <mergeCell ref="A83:T83"/>
    <mergeCell ref="C84:E84"/>
    <mergeCell ref="F84:H84"/>
    <mergeCell ref="I84:K84"/>
    <mergeCell ref="L84:N84"/>
    <mergeCell ref="O84:Q84"/>
    <mergeCell ref="R84:T84"/>
    <mergeCell ref="A107:T107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T10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6"/>
    <col collapsed="false" customWidth="true" hidden="false" outlineLevel="0" max="2" min="2" style="0" width="22"/>
    <col collapsed="false" customWidth="true" hidden="false" outlineLevel="0" max="3" min="3" style="0" width="11"/>
    <col collapsed="false" customWidth="true" hidden="false" outlineLevel="0" max="4" min="4" style="0" width="14"/>
    <col collapsed="false" customWidth="true" hidden="false" outlineLevel="0" max="6" min="5" style="0" width="12"/>
    <col collapsed="false" customWidth="true" hidden="false" outlineLevel="0" max="7" min="7" style="0" width="14"/>
    <col collapsed="false" customWidth="true" hidden="false" outlineLevel="0" max="9" min="8" style="0" width="13"/>
    <col collapsed="false" customWidth="true" hidden="false" outlineLevel="0" max="10" min="10" style="0" width="26"/>
  </cols>
  <sheetData>
    <row r="1" customFormat="false" ht="16.15" hidden="false" customHeight="false" outlineLevel="0" collapsed="false">
      <c r="A1" s="3" t="s">
        <v>766</v>
      </c>
    </row>
    <row r="2" customFormat="false" ht="25.5" hidden="false" customHeight="true" outlineLevel="0" collapsed="false">
      <c r="A2" s="12" t="s">
        <v>251</v>
      </c>
      <c r="B2" s="12"/>
      <c r="C2" s="12"/>
      <c r="D2" s="12"/>
      <c r="E2" s="12"/>
      <c r="F2" s="12"/>
      <c r="G2" s="12"/>
      <c r="H2" s="12"/>
      <c r="I2" s="12"/>
      <c r="J2" s="12"/>
    </row>
    <row r="3" customFormat="false" ht="15" hidden="false" customHeight="true" outlineLevel="0" collapsed="false">
      <c r="A3" s="16" t="s">
        <v>767</v>
      </c>
      <c r="B3" s="16"/>
      <c r="C3" s="16"/>
      <c r="D3" s="16"/>
      <c r="E3" s="16"/>
      <c r="F3" s="16"/>
      <c r="G3" s="16"/>
      <c r="H3" s="16"/>
      <c r="I3" s="16"/>
      <c r="J3" s="16"/>
    </row>
    <row r="4" customFormat="false" ht="30" hidden="false" customHeight="true" outlineLevel="0" collapsed="false">
      <c r="A4" s="17" t="s">
        <v>81</v>
      </c>
      <c r="B4" s="17"/>
      <c r="C4" s="17"/>
      <c r="D4" s="17"/>
      <c r="E4" s="17"/>
      <c r="F4" s="17"/>
      <c r="G4" s="17"/>
      <c r="H4" s="17"/>
      <c r="I4" s="17"/>
      <c r="J4" s="17"/>
    </row>
    <row r="5" customFormat="false" ht="15" hidden="false" customHeight="true" outlineLevel="0" collapsed="false">
      <c r="A5" s="18" t="s">
        <v>17</v>
      </c>
      <c r="B5" s="18"/>
      <c r="C5" s="18"/>
      <c r="D5" s="18"/>
      <c r="E5" s="18"/>
      <c r="F5" s="18"/>
      <c r="G5" s="18"/>
      <c r="H5" s="18"/>
      <c r="I5" s="18"/>
      <c r="J5" s="18"/>
    </row>
    <row r="6" customFormat="false" ht="15" hidden="false" customHeight="true" outlineLevel="0" collapsed="false">
      <c r="A6" s="19" t="s">
        <v>82</v>
      </c>
      <c r="B6" s="19"/>
      <c r="C6" s="19"/>
      <c r="D6" s="19"/>
      <c r="E6" s="19"/>
      <c r="F6" s="19"/>
      <c r="G6" s="19"/>
      <c r="H6" s="19"/>
      <c r="I6" s="19"/>
      <c r="J6" s="19"/>
    </row>
    <row r="7" customFormat="false" ht="23.85" hidden="false" customHeight="true" outlineLevel="0" collapsed="false">
      <c r="A7" s="20" t="s">
        <v>768</v>
      </c>
      <c r="B7" s="20"/>
      <c r="C7" s="20"/>
      <c r="D7" s="20"/>
      <c r="E7" s="20"/>
      <c r="F7" s="20"/>
      <c r="G7" s="20"/>
      <c r="H7" s="20"/>
      <c r="I7" s="20"/>
      <c r="J7" s="20"/>
    </row>
    <row r="8" customFormat="false" ht="15" hidden="false" customHeight="true" outlineLevel="0" collapsed="false">
      <c r="A8" s="21" t="s">
        <v>254</v>
      </c>
      <c r="B8" s="21"/>
      <c r="C8" s="21"/>
      <c r="D8" s="21"/>
      <c r="E8" s="21"/>
      <c r="F8" s="21"/>
      <c r="G8" s="21"/>
      <c r="H8" s="21"/>
      <c r="I8" s="21"/>
      <c r="J8" s="21"/>
    </row>
    <row r="10" customFormat="false" ht="15" hidden="false" customHeight="true" outlineLevel="0" collapsed="false">
      <c r="A10" s="22" t="s">
        <v>255</v>
      </c>
      <c r="B10" s="22"/>
      <c r="C10" s="22"/>
      <c r="D10" s="23" t="s">
        <v>769</v>
      </c>
      <c r="E10" s="23"/>
      <c r="F10" s="23"/>
      <c r="G10" s="23"/>
      <c r="H10" s="23"/>
      <c r="I10" s="23"/>
      <c r="J10" s="23"/>
    </row>
    <row r="11" customFormat="false" ht="15" hidden="false" customHeight="true" outlineLevel="0" collapsed="false">
      <c r="A11" s="22" t="s">
        <v>257</v>
      </c>
      <c r="B11" s="22"/>
      <c r="C11" s="22"/>
      <c r="D11" s="23" t="s">
        <v>770</v>
      </c>
      <c r="E11" s="23"/>
      <c r="F11" s="23"/>
      <c r="G11" s="23"/>
      <c r="H11" s="23"/>
      <c r="I11" s="23"/>
      <c r="J11" s="23"/>
    </row>
    <row r="12" customFormat="false" ht="15" hidden="false" customHeight="true" outlineLevel="0" collapsed="false">
      <c r="A12" s="22" t="s">
        <v>259</v>
      </c>
      <c r="B12" s="22"/>
      <c r="C12" s="22"/>
      <c r="D12" s="86"/>
      <c r="E12" s="86"/>
      <c r="F12" s="86"/>
      <c r="G12" s="86"/>
      <c r="H12" s="86"/>
      <c r="I12" s="86"/>
      <c r="J12" s="86"/>
    </row>
    <row r="13" customFormat="false" ht="15" hidden="false" customHeight="true" outlineLevel="0" collapsed="false">
      <c r="A13" s="22" t="s">
        <v>261</v>
      </c>
      <c r="B13" s="22"/>
      <c r="C13" s="22"/>
      <c r="D13" s="24" t="n">
        <v>2364000</v>
      </c>
      <c r="E13" s="24"/>
      <c r="F13" s="24"/>
      <c r="G13" s="24"/>
      <c r="H13" s="24"/>
      <c r="I13" s="24"/>
      <c r="J13" s="24"/>
    </row>
    <row r="14" customFormat="false" ht="23.85" hidden="false" customHeight="true" outlineLevel="0" collapsed="false">
      <c r="A14" s="22" t="s">
        <v>262</v>
      </c>
      <c r="B14" s="22"/>
      <c r="C14" s="22"/>
      <c r="D14" s="22" t="s">
        <v>771</v>
      </c>
      <c r="E14" s="22"/>
      <c r="F14" s="22"/>
      <c r="G14" s="22"/>
      <c r="H14" s="22"/>
      <c r="I14" s="22"/>
      <c r="J14" s="22"/>
    </row>
    <row r="16" customFormat="false" ht="15" hidden="false" customHeight="false" outlineLevel="0" collapsed="false">
      <c r="A16" s="25" t="s">
        <v>264</v>
      </c>
    </row>
    <row r="17" customFormat="false" ht="22.35" hidden="false" customHeight="true" outlineLevel="0" collapsed="false">
      <c r="A17" s="26" t="s">
        <v>265</v>
      </c>
      <c r="B17" s="26" t="s">
        <v>266</v>
      </c>
      <c r="C17" s="26" t="s">
        <v>267</v>
      </c>
      <c r="D17" s="26" t="s">
        <v>268</v>
      </c>
      <c r="E17" s="26" t="s">
        <v>269</v>
      </c>
      <c r="F17" s="26" t="s">
        <v>270</v>
      </c>
      <c r="G17" s="26" t="s">
        <v>271</v>
      </c>
      <c r="H17" s="26"/>
      <c r="I17" s="26"/>
      <c r="J17" s="26"/>
    </row>
    <row r="18" customFormat="false" ht="19.4" hidden="false" customHeight="true" outlineLevel="0" collapsed="false">
      <c r="A18" s="27" t="s">
        <v>435</v>
      </c>
      <c r="B18" s="28" t="s">
        <v>404</v>
      </c>
      <c r="C18" s="28" t="s">
        <v>772</v>
      </c>
      <c r="D18" s="29" t="n">
        <v>6442</v>
      </c>
      <c r="E18" s="30" t="n">
        <f aca="false">IF(D18="","",D18*12)</f>
        <v>77304</v>
      </c>
      <c r="F18" s="31" t="n">
        <v>1.5</v>
      </c>
      <c r="G18" s="32" t="s">
        <v>773</v>
      </c>
      <c r="H18" s="32"/>
      <c r="I18" s="32"/>
      <c r="J18" s="32"/>
    </row>
    <row r="19" customFormat="false" ht="15" hidden="false" customHeight="true" outlineLevel="0" collapsed="false">
      <c r="A19" s="27" t="s">
        <v>774</v>
      </c>
      <c r="B19" s="28" t="s">
        <v>775</v>
      </c>
      <c r="C19" s="28" t="s">
        <v>776</v>
      </c>
      <c r="D19" s="80" t="n">
        <v>7086</v>
      </c>
      <c r="E19" s="30" t="n">
        <f aca="false">IF(D19="","",D19*12)</f>
        <v>85032</v>
      </c>
      <c r="F19" s="31" t="n">
        <v>5</v>
      </c>
      <c r="G19" s="32" t="s">
        <v>777</v>
      </c>
      <c r="H19" s="32"/>
      <c r="I19" s="32"/>
      <c r="J19" s="32"/>
    </row>
    <row r="20" customFormat="false" ht="15" hidden="false" customHeight="true" outlineLevel="0" collapsed="false">
      <c r="A20" s="27" t="s">
        <v>778</v>
      </c>
      <c r="B20" s="28" t="s">
        <v>779</v>
      </c>
      <c r="C20" s="28" t="s">
        <v>780</v>
      </c>
      <c r="D20" s="80" t="n">
        <v>7795</v>
      </c>
      <c r="E20" s="30" t="n">
        <f aca="false">IF(D20="","",D20*12)</f>
        <v>93540</v>
      </c>
      <c r="F20" s="31" t="n">
        <v>3.5</v>
      </c>
      <c r="G20" s="32" t="s">
        <v>777</v>
      </c>
      <c r="H20" s="32"/>
      <c r="I20" s="32"/>
      <c r="J20" s="32"/>
    </row>
    <row r="21" customFormat="false" ht="15" hidden="false" customHeight="false" outlineLevel="0" collapsed="false">
      <c r="A21" s="34" t="s">
        <v>284</v>
      </c>
      <c r="B21" s="34"/>
      <c r="C21" s="34"/>
      <c r="D21" s="34"/>
      <c r="E21" s="35" t="n">
        <f aca="false">IF(SUMPRODUCT(E18:E20,F18:F20)=0,"",SUMPRODUCT(E18:E20,F18:F20))</f>
        <v>868506</v>
      </c>
      <c r="F21" s="36"/>
      <c r="G21" s="36"/>
      <c r="H21" s="36"/>
      <c r="I21" s="36"/>
      <c r="J21" s="36"/>
    </row>
    <row r="22" customFormat="false" ht="15" hidden="false" customHeight="false" outlineLevel="0" collapsed="false">
      <c r="A22" s="81" t="s">
        <v>483</v>
      </c>
      <c r="B22" s="81"/>
      <c r="C22" s="81"/>
      <c r="D22" s="81"/>
      <c r="E22" s="81"/>
      <c r="F22" s="81"/>
      <c r="G22" s="81"/>
      <c r="H22" s="81"/>
      <c r="I22" s="81"/>
      <c r="J22" s="81"/>
    </row>
    <row r="24" customFormat="false" ht="15" hidden="false" customHeight="false" outlineLevel="0" collapsed="false">
      <c r="A24" s="25" t="s">
        <v>286</v>
      </c>
    </row>
    <row r="25" customFormat="false" ht="15" hidden="false" customHeight="true" outlineLevel="0" collapsed="false">
      <c r="A25" s="22" t="s">
        <v>287</v>
      </c>
      <c r="B25" s="22"/>
      <c r="C25" s="22"/>
      <c r="D25" s="35" t="n">
        <v>77304</v>
      </c>
      <c r="E25" s="36"/>
      <c r="F25" s="36"/>
      <c r="G25" s="36"/>
      <c r="H25" s="36"/>
      <c r="I25" s="36"/>
      <c r="J25" s="36"/>
    </row>
    <row r="26" customFormat="false" ht="15" hidden="false" customHeight="true" outlineLevel="0" collapsed="false">
      <c r="A26" s="22" t="s">
        <v>288</v>
      </c>
      <c r="B26" s="22"/>
      <c r="C26" s="22"/>
      <c r="D26" s="38" t="n">
        <v>0.0327005076142132</v>
      </c>
      <c r="E26" s="39" t="s">
        <v>289</v>
      </c>
      <c r="F26" s="39"/>
      <c r="G26" s="39"/>
      <c r="H26" s="39"/>
      <c r="I26" s="39"/>
      <c r="J26" s="39"/>
    </row>
    <row r="27" customFormat="false" ht="23.85" hidden="false" customHeight="true" outlineLevel="0" collapsed="false">
      <c r="A27" s="22" t="s">
        <v>781</v>
      </c>
      <c r="B27" s="22"/>
      <c r="C27" s="22"/>
      <c r="D27" s="35" t="n">
        <v>30982.48</v>
      </c>
      <c r="E27" s="39" t="s">
        <v>291</v>
      </c>
      <c r="F27" s="39"/>
      <c r="G27" s="39"/>
      <c r="H27" s="39"/>
      <c r="I27" s="39"/>
      <c r="J27" s="39"/>
    </row>
    <row r="28" customFormat="false" ht="15" hidden="false" customHeight="true" outlineLevel="0" collapsed="false">
      <c r="A28" s="22" t="s">
        <v>292</v>
      </c>
      <c r="B28" s="22"/>
      <c r="C28" s="22"/>
      <c r="D28" s="35" t="n">
        <v>0</v>
      </c>
      <c r="E28" s="36"/>
      <c r="F28" s="36"/>
      <c r="G28" s="36"/>
      <c r="H28" s="36"/>
      <c r="I28" s="36"/>
      <c r="J28" s="36"/>
    </row>
    <row r="29" customFormat="false" ht="15" hidden="false" customHeight="true" outlineLevel="0" collapsed="false">
      <c r="A29" s="22" t="s">
        <v>293</v>
      </c>
      <c r="B29" s="22"/>
      <c r="C29" s="22"/>
      <c r="D29" s="35" t="n">
        <v>108286.48</v>
      </c>
      <c r="E29" s="36"/>
      <c r="F29" s="36"/>
      <c r="G29" s="36"/>
      <c r="H29" s="36"/>
      <c r="I29" s="36"/>
      <c r="J29" s="36"/>
    </row>
    <row r="30" customFormat="false" ht="15" hidden="false" customHeight="true" outlineLevel="0" collapsed="false">
      <c r="A30" s="22" t="s">
        <v>294</v>
      </c>
      <c r="B30" s="22"/>
      <c r="C30" s="22"/>
      <c r="D30" s="38" t="n">
        <v>0.0458064636209814</v>
      </c>
      <c r="E30" s="39" t="s">
        <v>295</v>
      </c>
      <c r="F30" s="39"/>
      <c r="G30" s="39"/>
      <c r="H30" s="39"/>
      <c r="I30" s="39"/>
      <c r="J30" s="39"/>
    </row>
    <row r="31" customFormat="false" ht="27.75" hidden="false" customHeight="true" outlineLevel="0" collapsed="false">
      <c r="A31" s="40" t="s">
        <v>782</v>
      </c>
      <c r="B31" s="40"/>
      <c r="C31" s="40"/>
      <c r="D31" s="40"/>
      <c r="E31" s="40"/>
      <c r="F31" s="40"/>
      <c r="G31" s="40"/>
      <c r="H31" s="40"/>
      <c r="I31" s="40"/>
      <c r="J31" s="40"/>
    </row>
    <row r="32" customFormat="false" ht="15" hidden="false" customHeight="false" outlineLevel="0" collapsed="false">
      <c r="A32" s="41" t="s">
        <v>783</v>
      </c>
      <c r="B32" s="41"/>
      <c r="C32" s="41"/>
      <c r="D32" s="41"/>
      <c r="E32" s="41"/>
      <c r="F32" s="41"/>
      <c r="G32" s="41"/>
      <c r="H32" s="41"/>
      <c r="I32" s="41"/>
      <c r="J32" s="41"/>
    </row>
    <row r="34" customFormat="false" ht="15" hidden="false" customHeight="false" outlineLevel="0" collapsed="false">
      <c r="A34" s="25" t="s">
        <v>298</v>
      </c>
    </row>
    <row r="35" customFormat="false" ht="15" hidden="false" customHeight="true" outlineLevel="0" collapsed="false">
      <c r="A35" s="22" t="s">
        <v>299</v>
      </c>
      <c r="B35" s="22"/>
      <c r="C35" s="22"/>
      <c r="D35" s="42" t="n">
        <v>0</v>
      </c>
      <c r="E35" s="43" t="s">
        <v>300</v>
      </c>
      <c r="F35" s="43"/>
      <c r="G35" s="43"/>
      <c r="H35" s="43"/>
      <c r="I35" s="43"/>
      <c r="J35" s="43"/>
    </row>
    <row r="36" customFormat="false" ht="15" hidden="false" customHeight="true" outlineLevel="0" collapsed="false">
      <c r="A36" s="22" t="s">
        <v>301</v>
      </c>
      <c r="B36" s="22"/>
      <c r="C36" s="22"/>
      <c r="D36" s="34" t="s">
        <v>302</v>
      </c>
      <c r="E36" s="43" t="s">
        <v>303</v>
      </c>
      <c r="F36" s="43"/>
      <c r="G36" s="43"/>
      <c r="H36" s="43"/>
      <c r="I36" s="43"/>
      <c r="J36" s="43"/>
    </row>
    <row r="37" customFormat="false" ht="15" hidden="false" customHeight="true" outlineLevel="0" collapsed="false">
      <c r="A37" s="22" t="s">
        <v>304</v>
      </c>
      <c r="B37" s="22"/>
      <c r="C37" s="22"/>
      <c r="D37" s="44"/>
      <c r="E37" s="43" t="s">
        <v>305</v>
      </c>
      <c r="F37" s="43"/>
      <c r="G37" s="43"/>
      <c r="H37" s="43"/>
      <c r="I37" s="43"/>
      <c r="J37" s="43"/>
    </row>
    <row r="38" customFormat="false" ht="23.85" hidden="false" customHeight="true" outlineLevel="0" collapsed="false">
      <c r="A38" s="22" t="s">
        <v>306</v>
      </c>
      <c r="B38" s="22"/>
      <c r="C38" s="22"/>
      <c r="D38" s="45" t="str">
        <f aca="false">IF(OR($D$35="",E18=""),"",IF($D$35=0,"— (no % rent)",E18/$D$35))</f>
        <v>— (no % rent)</v>
      </c>
      <c r="E38" s="43" t="s">
        <v>307</v>
      </c>
      <c r="F38" s="43"/>
      <c r="G38" s="43"/>
      <c r="H38" s="43"/>
      <c r="I38" s="43"/>
      <c r="J38" s="43"/>
    </row>
    <row r="39" customFormat="false" ht="23.85" hidden="false" customHeight="true" outlineLevel="0" collapsed="false">
      <c r="A39" s="22" t="s">
        <v>308</v>
      </c>
      <c r="B39" s="22"/>
      <c r="C39" s="22"/>
      <c r="D39" s="45" t="str">
        <f aca="false">IF($D$35="","",IF($D$35=0,"— (no % rent)",IF($D$37&lt;&gt;"",$D$37,IF(E18="","",E18/$D$35))))</f>
        <v>— (no % rent)</v>
      </c>
      <c r="E39" s="36"/>
      <c r="F39" s="36"/>
      <c r="G39" s="36"/>
      <c r="H39" s="36"/>
      <c r="I39" s="36"/>
      <c r="J39" s="36"/>
    </row>
    <row r="40" customFormat="false" ht="15" hidden="false" customHeight="true" outlineLevel="0" collapsed="false">
      <c r="A40" s="22" t="s">
        <v>309</v>
      </c>
      <c r="B40" s="22"/>
      <c r="C40" s="22"/>
      <c r="D40" s="45" t="n">
        <f aca="false">IF(OR($D$35="",D13=""),"",IF($D$35=0,0,IF($D$39="","",MAX(0,D13-$D$39)*$D$35)))</f>
        <v>0</v>
      </c>
      <c r="E40" s="36"/>
      <c r="F40" s="36"/>
      <c r="G40" s="36"/>
      <c r="H40" s="36"/>
      <c r="I40" s="36"/>
      <c r="J40" s="36"/>
    </row>
    <row r="41" customFormat="false" ht="15" hidden="false" customHeight="true" outlineLevel="0" collapsed="false">
      <c r="A41" s="22" t="s">
        <v>310</v>
      </c>
      <c r="B41" s="22"/>
      <c r="C41" s="22"/>
      <c r="D41" s="45" t="n">
        <f aca="false">IF(OR(D40="",E18=""),"",E18+D40)</f>
        <v>77304</v>
      </c>
      <c r="E41" s="36"/>
      <c r="F41" s="36"/>
      <c r="G41" s="36"/>
      <c r="H41" s="36"/>
      <c r="I41" s="36"/>
      <c r="J41" s="36"/>
    </row>
    <row r="42" customFormat="false" ht="15" hidden="false" customHeight="true" outlineLevel="0" collapsed="false">
      <c r="A42" s="22" t="s">
        <v>311</v>
      </c>
      <c r="B42" s="22"/>
      <c r="C42" s="22"/>
      <c r="D42" s="46" t="n">
        <f aca="false">IF(OR(D41="",D13=""),"",D41/D13)</f>
        <v>0.0327005076142132</v>
      </c>
      <c r="E42" s="36"/>
      <c r="F42" s="36"/>
      <c r="G42" s="36"/>
      <c r="H42" s="36"/>
      <c r="I42" s="36"/>
      <c r="J42" s="36"/>
    </row>
    <row r="44" customFormat="false" ht="15" hidden="false" customHeight="false" outlineLevel="0" collapsed="false">
      <c r="A44" s="25" t="s">
        <v>312</v>
      </c>
    </row>
    <row r="45" customFormat="false" ht="22.35" hidden="false" customHeight="false" outlineLevel="0" collapsed="false">
      <c r="A45" s="26" t="s">
        <v>313</v>
      </c>
      <c r="B45" s="26" t="s">
        <v>314</v>
      </c>
      <c r="C45" s="26" t="s">
        <v>315</v>
      </c>
      <c r="D45" s="26" t="s">
        <v>316</v>
      </c>
      <c r="E45" s="26" t="s">
        <v>317</v>
      </c>
      <c r="F45" s="26" t="s">
        <v>318</v>
      </c>
      <c r="G45" s="26" t="s">
        <v>319</v>
      </c>
      <c r="H45" s="26" t="s">
        <v>269</v>
      </c>
      <c r="I45" s="26" t="s">
        <v>320</v>
      </c>
      <c r="J45" s="26" t="s">
        <v>321</v>
      </c>
    </row>
    <row r="46" customFormat="false" ht="32.8" hidden="false" customHeight="false" outlineLevel="0" collapsed="false">
      <c r="A46" s="47" t="s">
        <v>180</v>
      </c>
      <c r="B46" s="47" t="s">
        <v>784</v>
      </c>
      <c r="C46" s="47" t="s">
        <v>785</v>
      </c>
      <c r="D46" s="47" t="s">
        <v>786</v>
      </c>
      <c r="E46" s="47" t="s">
        <v>787</v>
      </c>
      <c r="F46" s="48"/>
      <c r="G46" s="47" t="s">
        <v>788</v>
      </c>
      <c r="H46" s="49" t="n">
        <v>238000</v>
      </c>
      <c r="I46" s="51" t="s">
        <v>342</v>
      </c>
      <c r="J46" s="47" t="s">
        <v>789</v>
      </c>
    </row>
    <row r="47" customFormat="false" ht="22.35" hidden="false" customHeight="false" outlineLevel="0" collapsed="false">
      <c r="A47" s="47" t="s">
        <v>790</v>
      </c>
      <c r="B47" s="47" t="s">
        <v>791</v>
      </c>
      <c r="C47" s="47" t="s">
        <v>792</v>
      </c>
      <c r="D47" s="47" t="s">
        <v>793</v>
      </c>
      <c r="E47" s="48"/>
      <c r="F47" s="47" t="s">
        <v>794</v>
      </c>
      <c r="G47" s="47" t="s">
        <v>236</v>
      </c>
      <c r="H47" s="48"/>
      <c r="I47" s="51" t="s">
        <v>342</v>
      </c>
      <c r="J47" s="47" t="s">
        <v>578</v>
      </c>
    </row>
    <row r="48" customFormat="false" ht="15" hidden="false" customHeight="false" outlineLevel="0" collapsed="false">
      <c r="A48" s="52" t="s">
        <v>344</v>
      </c>
      <c r="B48" s="52"/>
      <c r="C48" s="52"/>
      <c r="D48" s="52"/>
      <c r="E48" s="52"/>
      <c r="F48" s="52"/>
      <c r="G48" s="52"/>
      <c r="H48" s="53" t="n">
        <f aca="false">IF(COUNT(H46:H47)=0,"",AVERAGE(H46:H47))</f>
        <v>238000</v>
      </c>
      <c r="I48" s="52" t="str">
        <f aca="false">IF(COUNT(H46:H47)=0,"",TEXT(MIN(H46:H47),"$#,##0")&amp;" – "&amp;TEXT(MAX(H46:H47),"$#,##0"))</f>
        <v>$238,000 – $238,000</v>
      </c>
      <c r="J48" s="36"/>
    </row>
    <row r="50" customFormat="false" ht="15" hidden="false" customHeight="false" outlineLevel="0" collapsed="false">
      <c r="A50" s="25" t="s">
        <v>345</v>
      </c>
    </row>
    <row r="51" customFormat="false" ht="53.7" hidden="false" customHeight="true" outlineLevel="0" collapsed="false">
      <c r="A51" s="26" t="s">
        <v>346</v>
      </c>
      <c r="B51" s="26"/>
      <c r="C51" s="26"/>
      <c r="D51" s="26" t="s">
        <v>347</v>
      </c>
      <c r="E51" s="26" t="s">
        <v>348</v>
      </c>
      <c r="F51" s="26" t="s">
        <v>349</v>
      </c>
      <c r="G51" s="26" t="s">
        <v>350</v>
      </c>
      <c r="H51" s="54" t="s">
        <v>351</v>
      </c>
    </row>
    <row r="52" customFormat="false" ht="68.65" hidden="false" customHeight="true" outlineLevel="0" collapsed="false">
      <c r="A52" s="22" t="s">
        <v>352</v>
      </c>
      <c r="B52" s="22"/>
      <c r="C52" s="22"/>
      <c r="D52" s="55" t="s">
        <v>353</v>
      </c>
      <c r="E52" s="56"/>
      <c r="F52" s="56"/>
      <c r="G52" s="56"/>
      <c r="H52" s="56"/>
    </row>
    <row r="53" customFormat="false" ht="15" hidden="false" customHeight="true" outlineLevel="0" collapsed="false">
      <c r="A53" s="22" t="s">
        <v>354</v>
      </c>
      <c r="B53" s="22"/>
      <c r="C53" s="22"/>
      <c r="D53" s="57" t="n">
        <v>77304</v>
      </c>
      <c r="E53" s="57"/>
      <c r="F53" s="57"/>
      <c r="G53" s="57"/>
      <c r="H53" s="57"/>
    </row>
    <row r="54" customFormat="false" ht="15" hidden="false" customHeight="true" outlineLevel="0" collapsed="false">
      <c r="A54" s="22" t="s">
        <v>355</v>
      </c>
      <c r="B54" s="22"/>
      <c r="C54" s="22"/>
      <c r="D54" s="82" t="n">
        <v>0.02</v>
      </c>
      <c r="E54" s="58"/>
      <c r="F54" s="58"/>
      <c r="G54" s="58"/>
      <c r="H54" s="58"/>
    </row>
    <row r="55" customFormat="false" ht="15" hidden="false" customHeight="true" outlineLevel="0" collapsed="false">
      <c r="A55" s="22" t="s">
        <v>356</v>
      </c>
      <c r="B55" s="22"/>
      <c r="C55" s="22"/>
      <c r="D55" s="56" t="n">
        <v>5</v>
      </c>
      <c r="E55" s="56"/>
      <c r="F55" s="56"/>
      <c r="G55" s="56"/>
      <c r="H55" s="56"/>
    </row>
    <row r="56" customFormat="false" ht="15" hidden="false" customHeight="true" outlineLevel="0" collapsed="false">
      <c r="A56" s="22" t="s">
        <v>357</v>
      </c>
      <c r="B56" s="22"/>
      <c r="C56" s="22"/>
      <c r="D56" s="59" t="n">
        <v>20</v>
      </c>
      <c r="E56" s="59"/>
      <c r="F56" s="59"/>
      <c r="G56" s="59"/>
      <c r="H56" s="59"/>
    </row>
    <row r="57" customFormat="false" ht="15" hidden="false" customHeight="true" outlineLevel="0" collapsed="false">
      <c r="A57" s="22" t="s">
        <v>358</v>
      </c>
      <c r="B57" s="22"/>
      <c r="C57" s="22"/>
      <c r="D57" s="60" t="n">
        <f aca="false">IF(OR(D53="",E18=""),"",D53-E18)</f>
        <v>0</v>
      </c>
      <c r="E57" s="60" t="str">
        <f aca="false">IF(OR(E53="",E18=""),"",E53-E18)</f>
        <v/>
      </c>
      <c r="F57" s="60" t="str">
        <f aca="false">IF(OR(F53="",E18=""),"",F53-E18)</f>
        <v/>
      </c>
      <c r="G57" s="60" t="str">
        <f aca="false">IF(OR(G53="",E18=""),"",G53-E18)</f>
        <v/>
      </c>
      <c r="H57" s="60" t="str">
        <f aca="false">IF(OR(H53="",E18=""),"",H53-E18)</f>
        <v/>
      </c>
    </row>
    <row r="58" customFormat="false" ht="15" hidden="false" customHeight="true" outlineLevel="0" collapsed="false">
      <c r="A58" s="22" t="s">
        <v>359</v>
      </c>
      <c r="B58" s="22"/>
      <c r="C58" s="22"/>
      <c r="D58" s="61" t="n">
        <f aca="false">IF(OR(D53="",E18=""),"",(D53-E18)/E18)</f>
        <v>0</v>
      </c>
      <c r="E58" s="61" t="str">
        <f aca="false">IF(OR(E53="",E18=""),"",(E53-E18)/E18)</f>
        <v/>
      </c>
      <c r="F58" s="61" t="str">
        <f aca="false">IF(OR(F53="",E18=""),"",(F53-E18)/E18)</f>
        <v/>
      </c>
      <c r="G58" s="61" t="str">
        <f aca="false">IF(OR(G53="",E18=""),"",(G53-E18)/E18)</f>
        <v/>
      </c>
      <c r="H58" s="61" t="str">
        <f aca="false">IF(OR(H53="",E18=""),"",(H53-E18)/E18)</f>
        <v/>
      </c>
    </row>
    <row r="59" customFormat="false" ht="15" hidden="false" customHeight="true" outlineLevel="0" collapsed="false">
      <c r="A59" s="22" t="s">
        <v>360</v>
      </c>
      <c r="B59" s="22"/>
      <c r="C59" s="22"/>
      <c r="D59" s="62" t="n">
        <f aca="false">IF(OR(D53="",D13=""),"",D53/D13)</f>
        <v>0.0327005076142132</v>
      </c>
      <c r="E59" s="62" t="str">
        <f aca="false">IF(OR(E53="",D13=""),"",E53/D13)</f>
        <v/>
      </c>
      <c r="F59" s="62" t="str">
        <f aca="false">IF(OR(F53="",D13=""),"",F53/D13)</f>
        <v/>
      </c>
      <c r="G59" s="62" t="str">
        <f aca="false">IF(OR(G53="",D13=""),"",G53/D13)</f>
        <v/>
      </c>
      <c r="H59" s="62" t="str">
        <f aca="false">IF(OR(H53="",D13=""),"",H53/D13)</f>
        <v/>
      </c>
    </row>
    <row r="60" customFormat="false" ht="15" hidden="false" customHeight="true" outlineLevel="0" collapsed="false">
      <c r="A60" s="22" t="s">
        <v>361</v>
      </c>
      <c r="B60" s="22"/>
      <c r="C60" s="22"/>
      <c r="D60" s="61" t="n">
        <f aca="false">IF(OR(D53="",H48=""),"",(D53-H48)/H48)</f>
        <v>-0.675193277310924</v>
      </c>
      <c r="E60" s="61" t="str">
        <f aca="false">IF(OR(E53="",H48=""),"",(E53-H48)/H48)</f>
        <v/>
      </c>
      <c r="F60" s="61" t="str">
        <f aca="false">IF(OR(F53="",H48=""),"",(F53-H48)/H48)</f>
        <v/>
      </c>
      <c r="G60" s="61" t="str">
        <f aca="false">IF(OR(G53="",H48=""),"",(G53-H48)/H48)</f>
        <v/>
      </c>
      <c r="H60" s="61" t="str">
        <f aca="false">IF(OR(H53="",H48=""),"",(H53-H48)/H48)</f>
        <v/>
      </c>
    </row>
    <row r="61" customFormat="false" ht="15" hidden="false" customHeight="true" outlineLevel="0" collapsed="false">
      <c r="A61" s="22" t="s">
        <v>362</v>
      </c>
      <c r="B61" s="22"/>
      <c r="C61" s="22"/>
      <c r="D61" s="63" t="n">
        <f aca="true">IF(D53="","",SUMPRODUCT(D53*(1+IF(D54="",0,D54))^ROUNDDOWN((ROW(INDIRECT("1:10"))-1)/IF(D55="",5,D55),0)))</f>
        <v>780770.4</v>
      </c>
      <c r="E61" s="63" t="str">
        <f aca="true">IF(E53="","",SUMPRODUCT(E53*(1+IF(E54="",0,E54))^ROUNDDOWN((ROW(INDIRECT("1:10"))-1)/IF(E55="",5,E55),0)))</f>
        <v/>
      </c>
      <c r="F61" s="63" t="str">
        <f aca="true">IF(F53="","",SUMPRODUCT(F53*(1+IF(F54="",0,F54))^ROUNDDOWN((ROW(INDIRECT("1:10"))-1)/IF(F55="",5,F55),0)))</f>
        <v/>
      </c>
      <c r="G61" s="63" t="str">
        <f aca="true">IF(G53="","",SUMPRODUCT(G53*(1+IF(G54="",0,G54))^ROUNDDOWN((ROW(INDIRECT("1:10"))-1)/IF(G55="",5,G55),0)))</f>
        <v/>
      </c>
      <c r="H61" s="63" t="str">
        <f aca="true">IF(H53="","",SUMPRODUCT(H53*(1+IF(H54="",0,H54))^ROUNDDOWN((ROW(INDIRECT("1:10"))-1)/IF(H55="",5,H55),0)))</f>
        <v/>
      </c>
    </row>
    <row r="62" customFormat="false" ht="15" hidden="false" customHeight="true" outlineLevel="0" collapsed="false">
      <c r="A62" s="22" t="s">
        <v>363</v>
      </c>
      <c r="B62" s="22"/>
      <c r="C62" s="22"/>
      <c r="D62" s="60" t="n">
        <f aca="false">IF(OR(D61="",E21=""),"",D61-E21)</f>
        <v>-87735.6</v>
      </c>
      <c r="E62" s="60" t="str">
        <f aca="false">IF(OR(E61="",E21=""),"",E61-E21)</f>
        <v/>
      </c>
      <c r="F62" s="60" t="str">
        <f aca="false">IF(OR(F61="",E21=""),"",F61-E21)</f>
        <v/>
      </c>
      <c r="G62" s="60" t="str">
        <f aca="false">IF(OR(G61="",E21=""),"",G61-E21)</f>
        <v/>
      </c>
      <c r="H62" s="60" t="str">
        <f aca="false">IF(OR(H61="",E21=""),"",H61-E21)</f>
        <v/>
      </c>
    </row>
    <row r="63" customFormat="false" ht="23.85" hidden="false" customHeight="true" outlineLevel="0" collapsed="false">
      <c r="A63" s="22" t="s">
        <v>364</v>
      </c>
      <c r="B63" s="22"/>
      <c r="C63" s="22"/>
      <c r="D63" s="58"/>
      <c r="E63" s="58"/>
      <c r="F63" s="58"/>
      <c r="G63" s="58"/>
      <c r="H63" s="58"/>
    </row>
    <row r="64" customFormat="false" ht="23.85" hidden="false" customHeight="true" outlineLevel="0" collapsed="false">
      <c r="A64" s="22" t="s">
        <v>365</v>
      </c>
      <c r="B64" s="22"/>
      <c r="C64" s="22"/>
      <c r="D64" s="57"/>
      <c r="E64" s="57"/>
      <c r="F64" s="57"/>
      <c r="G64" s="57"/>
      <c r="H64" s="57"/>
    </row>
    <row r="65" customFormat="false" ht="15" hidden="false" customHeight="true" outlineLevel="0" collapsed="false">
      <c r="A65" s="22" t="s">
        <v>366</v>
      </c>
      <c r="B65" s="22"/>
      <c r="C65" s="22"/>
      <c r="D65" s="63" t="str">
        <f aca="false">IF(OR(D53="",AND(D63="",$D$35="")),"",IF(IF(D63="",IF($D$35="",0,$D$35),D63)=0,"— (% rent removed)",IF(D64&lt;&gt;"",D64,IF($D$37&lt;&gt;"",$D$37,D53/IF(D63="",IF($D$35="",0,$D$35),D63)))))</f>
        <v>— (% rent removed)</v>
      </c>
      <c r="E65" s="63" t="str">
        <f aca="false">IF(OR(E53="",AND(E63="",$D$35="")),"",IF(IF(E63="",IF($D$35="",0,$D$35),E63)=0,"— (% rent removed)",IF(E64&lt;&gt;"",E64,IF($D$37&lt;&gt;"",$D$37,E53/IF(E63="",IF($D$35="",0,$D$35),E63)))))</f>
        <v/>
      </c>
      <c r="F65" s="63" t="str">
        <f aca="false">IF(OR(F53="",AND(F63="",$D$35="")),"",IF(IF(F63="",IF($D$35="",0,$D$35),F63)=0,"— (% rent removed)",IF(F64&lt;&gt;"",F64,IF($D$37&lt;&gt;"",$D$37,F53/IF(F63="",IF($D$35="",0,$D$35),F63)))))</f>
        <v/>
      </c>
      <c r="G65" s="63" t="str">
        <f aca="false">IF(OR(G53="",AND(G63="",$D$35="")),"",IF(IF(G63="",IF($D$35="",0,$D$35),G63)=0,"— (% rent removed)",IF(G64&lt;&gt;"",G64,IF($D$37&lt;&gt;"",$D$37,G53/IF(G63="",IF($D$35="",0,$D$35),G63)))))</f>
        <v/>
      </c>
      <c r="H65" s="63" t="str">
        <f aca="false">IF(OR(H53="",AND(H63="",$D$35="")),"",IF(IF(H63="",IF($D$35="",0,$D$35),H63)=0,"— (% rent removed)",IF(H64&lt;&gt;"",H64,IF($D$37&lt;&gt;"",$D$37,H53/IF(H63="",IF($D$35="",0,$D$35),H63)))))</f>
        <v/>
      </c>
    </row>
    <row r="66" customFormat="false" ht="15" hidden="false" customHeight="true" outlineLevel="0" collapsed="false">
      <c r="A66" s="22" t="s">
        <v>367</v>
      </c>
      <c r="B66" s="22"/>
      <c r="C66" s="22"/>
      <c r="D66" s="63" t="n">
        <f aca="false">IF(OR(D53="",AND(D63="",$D$35=""),D13=""),"",IF(IF(D63="",IF($D$35="",0,$D$35),D63)=0,0,MAX(0,D13-D65)*IF(D63="",IF($D$35="",0,$D$35),D63)))</f>
        <v>0</v>
      </c>
      <c r="E66" s="63" t="str">
        <f aca="false">IF(OR(E53="",AND(E63="",$D$35=""),D13=""),"",IF(IF(E63="",IF($D$35="",0,$D$35),E63)=0,0,MAX(0,D13-E65)*IF(E63="",IF($D$35="",0,$D$35),E63)))</f>
        <v/>
      </c>
      <c r="F66" s="63" t="str">
        <f aca="false">IF(OR(F53="",AND(F63="",$D$35=""),D13=""),"",IF(IF(F63="",IF($D$35="",0,$D$35),F63)=0,0,MAX(0,D13-F65)*IF(F63="",IF($D$35="",0,$D$35),F63)))</f>
        <v/>
      </c>
      <c r="G66" s="63" t="str">
        <f aca="false">IF(OR(G53="",AND(G63="",$D$35=""),D13=""),"",IF(IF(G63="",IF($D$35="",0,$D$35),G63)=0,0,MAX(0,D13-G65)*IF(G63="",IF($D$35="",0,$D$35),G63)))</f>
        <v/>
      </c>
      <c r="H66" s="63" t="str">
        <f aca="false">IF(OR(H53="",AND(H63="",$D$35=""),D13=""),"",IF(IF(H63="",IF($D$35="",0,$D$35),H63)=0,0,MAX(0,D13-H65)*IF(H63="",IF($D$35="",0,$D$35),H63)))</f>
        <v/>
      </c>
    </row>
    <row r="67" customFormat="false" ht="15" hidden="false" customHeight="true" outlineLevel="0" collapsed="false">
      <c r="A67" s="22" t="s">
        <v>368</v>
      </c>
      <c r="B67" s="22"/>
      <c r="C67" s="22"/>
      <c r="D67" s="63" t="n">
        <f aca="false">IF(OR(D53="",D66=""),"",D53+D66)</f>
        <v>77304</v>
      </c>
      <c r="E67" s="63" t="str">
        <f aca="false">IF(OR(E53="",E66=""),"",E53+E66)</f>
        <v/>
      </c>
      <c r="F67" s="63" t="str">
        <f aca="false">IF(OR(F53="",F66=""),"",F53+F66)</f>
        <v/>
      </c>
      <c r="G67" s="63" t="str">
        <f aca="false">IF(OR(G53="",G66=""),"",G53+G66)</f>
        <v/>
      </c>
      <c r="H67" s="63" t="str">
        <f aca="false">IF(OR(H53="",H66=""),"",H53+H66)</f>
        <v/>
      </c>
    </row>
    <row r="68" customFormat="false" ht="15" hidden="false" customHeight="true" outlineLevel="0" collapsed="false">
      <c r="A68" s="22" t="s">
        <v>369</v>
      </c>
      <c r="B68" s="22"/>
      <c r="C68" s="22"/>
      <c r="D68" s="62" t="n">
        <f aca="false">IF(OR(D67="",D13=""),"",D67/D13)</f>
        <v>0.0327005076142132</v>
      </c>
      <c r="E68" s="62" t="str">
        <f aca="false">IF(OR(E67="",D13=""),"",E67/D13)</f>
        <v/>
      </c>
      <c r="F68" s="62" t="str">
        <f aca="false">IF(OR(F67="",D13=""),"",F67/D13)</f>
        <v/>
      </c>
      <c r="G68" s="62" t="str">
        <f aca="false">IF(OR(G67="",D13=""),"",G67/D13)</f>
        <v/>
      </c>
      <c r="H68" s="62" t="str">
        <f aca="false">IF(OR(H67="",D13=""),"",H67/D13)</f>
        <v/>
      </c>
    </row>
    <row r="69" customFormat="false" ht="23.85" hidden="false" customHeight="true" outlineLevel="0" collapsed="false">
      <c r="A69" s="22" t="s">
        <v>370</v>
      </c>
      <c r="B69" s="22"/>
      <c r="C69" s="22"/>
      <c r="D69" s="64" t="n">
        <f aca="false">IF(D67="","",(805986.83-D67)/2360317.57)</f>
        <v>0.308722368236237</v>
      </c>
      <c r="E69" s="64" t="str">
        <f aca="false">IF(E67="","",(805986.83-E67)/2360317.57)</f>
        <v/>
      </c>
      <c r="F69" s="64" t="str">
        <f aca="false">IF(F67="","",(805986.83-F67)/2360317.57)</f>
        <v/>
      </c>
      <c r="G69" s="64" t="str">
        <f aca="false">IF(G67="","",(805986.83-G67)/2360317.57)</f>
        <v/>
      </c>
      <c r="H69" s="64" t="str">
        <f aca="false">IF(H67="","",(805986.83-H67)/2360317.57)</f>
        <v/>
      </c>
    </row>
    <row r="70" customFormat="false" ht="15" hidden="false" customHeight="true" outlineLevel="0" collapsed="false">
      <c r="A70" s="22" t="s">
        <v>371</v>
      </c>
      <c r="B70" s="22"/>
      <c r="C70" s="22"/>
      <c r="D70" s="63" t="n">
        <f aca="true">IF(OR(D53="",AND(D63="",$D$35=""),D13=""),"",IF(IF(D63="",IF($D$35="",0,$D$35),D63)=0,0,SUMPRODUCT(((D13*1.02^(ROW(INDIRECT("1:10"))-1))-(IF(D64&lt;&gt;"",D64,IF($D$37&lt;&gt;"",$D$37,(D53*(1+IF(D54="",0,D54))^ROUNDDOWN((ROW(INDIRECT("1:10"))-1)/IF(D55="",5,D55),0))/IF(D63="",IF($D$35="",0,$D$35),D63))))&gt;0)*((D13*1.02^(ROW(INDIRECT("1:10"))-1))-(IF(D64&lt;&gt;"",D64,IF($D$37&lt;&gt;"",$D$37,(D53*(1+IF(D54="",0,D54))^ROUNDDOWN((ROW(INDIRECT("1:10"))-1)/IF(D55="",5,D55),0))/IF(D63="",IF($D$35="",0,$D$35),D63))))))*IF(D63="",IF($D$35="",0,$D$35),D63)))</f>
        <v>0</v>
      </c>
      <c r="E70" s="63" t="str">
        <f aca="true">IF(OR(E53="",AND(E63="",$D$35=""),D13=""),"",IF(IF(E63="",IF($D$35="",0,$D$35),E63)=0,0,SUMPRODUCT(((D13*1.02^(ROW(INDIRECT("1:10"))-1))-(IF(E64&lt;&gt;"",E64,IF($D$37&lt;&gt;"",$D$37,(E53*(1+IF(E54="",0,E54))^ROUNDDOWN((ROW(INDIRECT("1:10"))-1)/IF(E55="",5,E55),0))/IF(E63="",IF($D$35="",0,$D$35),E63))))&gt;0)*((D13*1.02^(ROW(INDIRECT("1:10"))-1))-(IF(E64&lt;&gt;"",E64,IF($D$37&lt;&gt;"",$D$37,(E53*(1+IF(E54="",0,E54))^ROUNDDOWN((ROW(INDIRECT("1:10"))-1)/IF(E55="",5,E55),0))/IF(E63="",IF($D$35="",0,$D$35),E63))))))*IF(E63="",IF($D$35="",0,$D$35),E63)))</f>
        <v/>
      </c>
      <c r="F70" s="63" t="str">
        <f aca="true">IF(OR(F53="",AND(F63="",$D$35=""),D13=""),"",IF(IF(F63="",IF($D$35="",0,$D$35),F63)=0,0,SUMPRODUCT(((D13*1.02^(ROW(INDIRECT("1:10"))-1))-(IF(F64&lt;&gt;"",F64,IF($D$37&lt;&gt;"",$D$37,(F53*(1+IF(F54="",0,F54))^ROUNDDOWN((ROW(INDIRECT("1:10"))-1)/IF(F55="",5,F55),0))/IF(F63="",IF($D$35="",0,$D$35),F63))))&gt;0)*((D13*1.02^(ROW(INDIRECT("1:10"))-1))-(IF(F64&lt;&gt;"",F64,IF($D$37&lt;&gt;"",$D$37,(F53*(1+IF(F54="",0,F54))^ROUNDDOWN((ROW(INDIRECT("1:10"))-1)/IF(F55="",5,F55),0))/IF(F63="",IF($D$35="",0,$D$35),F63))))))*IF(F63="",IF($D$35="",0,$D$35),F63)))</f>
        <v/>
      </c>
      <c r="G70" s="63" t="str">
        <f aca="true">IF(OR(G53="",AND(G63="",$D$35=""),D13=""),"",IF(IF(G63="",IF($D$35="",0,$D$35),G63)=0,0,SUMPRODUCT(((D13*1.02^(ROW(INDIRECT("1:10"))-1))-(IF(G64&lt;&gt;"",G64,IF($D$37&lt;&gt;"",$D$37,(G53*(1+IF(G54="",0,G54))^ROUNDDOWN((ROW(INDIRECT("1:10"))-1)/IF(G55="",5,G55),0))/IF(G63="",IF($D$35="",0,$D$35),G63))))&gt;0)*((D13*1.02^(ROW(INDIRECT("1:10"))-1))-(IF(G64&lt;&gt;"",G64,IF($D$37&lt;&gt;"",$D$37,(G53*(1+IF(G54="",0,G54))^ROUNDDOWN((ROW(INDIRECT("1:10"))-1)/IF(G55="",5,G55),0))/IF(G63="",IF($D$35="",0,$D$35),G63))))))*IF(G63="",IF($D$35="",0,$D$35),G63)))</f>
        <v/>
      </c>
      <c r="H70" s="63" t="str">
        <f aca="true">IF(OR(H53="",AND(H63="",$D$35=""),D13=""),"",IF(IF(H63="",IF($D$35="",0,$D$35),H63)=0,0,SUMPRODUCT(((D13*1.02^(ROW(INDIRECT("1:10"))-1))-(IF(H64&lt;&gt;"",H64,IF($D$37&lt;&gt;"",$D$37,(H53*(1+IF(H54="",0,H54))^ROUNDDOWN((ROW(INDIRECT("1:10"))-1)/IF(H55="",5,H55),0))/IF(H63="",IF($D$35="",0,$D$35),H63))))&gt;0)*((D13*1.02^(ROW(INDIRECT("1:10"))-1))-(IF(H64&lt;&gt;"",H64,IF($D$37&lt;&gt;"",$D$37,(H53*(1+IF(H54="",0,H54))^ROUNDDOWN((ROW(INDIRECT("1:10"))-1)/IF(H55="",5,H55),0))/IF(H63="",IF($D$35="",0,$D$35),H63))))))*IF(H63="",IF($D$35="",0,$D$35),H63)))</f>
        <v/>
      </c>
    </row>
    <row r="71" customFormat="false" ht="15" hidden="false" customHeight="true" outlineLevel="0" collapsed="false">
      <c r="A71" s="22" t="s">
        <v>372</v>
      </c>
      <c r="B71" s="22"/>
      <c r="C71" s="22"/>
      <c r="D71" s="63" t="n">
        <f aca="false">IF(OR(D61="",D70=""),"",D61+D70)</f>
        <v>780770.4</v>
      </c>
      <c r="E71" s="63" t="str">
        <f aca="false">IF(OR(E61="",E70=""),"",E61+E70)</f>
        <v/>
      </c>
      <c r="F71" s="63" t="str">
        <f aca="false">IF(OR(F61="",F70=""),"",F61+F70)</f>
        <v/>
      </c>
      <c r="G71" s="63" t="str">
        <f aca="false">IF(OR(G61="",G70=""),"",G61+G70)</f>
        <v/>
      </c>
      <c r="H71" s="63" t="str">
        <f aca="false">IF(OR(H61="",H70=""),"",H61+H70)</f>
        <v/>
      </c>
    </row>
    <row r="72" customFormat="false" ht="23.85" hidden="false" customHeight="true" outlineLevel="0" collapsed="false">
      <c r="A72" s="22" t="s">
        <v>373</v>
      </c>
      <c r="B72" s="22"/>
      <c r="C72" s="22"/>
      <c r="D72" s="65" t="n">
        <f aca="true">IF(D53="","",SUMPRODUCT(D53*(1+IF(D54="",0,D54))^ROUNDDOWN((ROW(INDIRECT("1:"&amp;IF(D56="",10,D56)))-1)/IF(D55="",5,D55),0))+IF(OR(D13="",IF(D63="",IF($D$35="",0,$D$35),D63)=0),0,SUMPRODUCT(((D13*1.02^(ROW(INDIRECT("1:"&amp;IF(D56="",10,D56)))-1))-(IF(D64&lt;&gt;"",D64,IF($D$37&lt;&gt;"",$D$37,(D53*(1+IF(D54="",0,D54))^ROUNDDOWN((ROW(INDIRECT("1:"&amp;IF(D56="",10,D56)))-1)/IF(D55="",5,D55),0))/IF(D63="",IF($D$35="",0,$D$35),D63))))&gt;0)*((D13*1.02^(ROW(INDIRECT("1:"&amp;IF(D56="",10,D56)))-1))-(IF(D64&lt;&gt;"",D64,IF($D$37&lt;&gt;"",$D$37,(D53*(1+IF(D54="",0,D54))^ROUNDDOWN((ROW(INDIRECT("1:"&amp;IF(D56="",10,D56)))-1)/IF(D55="",5,D55),0))/IF(D63="",IF($D$35="",0,$D$35),D63))))))*IF(D63="",IF($D$35="",0,$D$35),D63)))</f>
        <v>1593083.92416</v>
      </c>
      <c r="E72" s="65" t="str">
        <f aca="true">IF(E53="","",SUMPRODUCT(E53*(1+IF(E54="",0,E54))^ROUNDDOWN((ROW(INDIRECT("1:"&amp;IF(E56="",10,E56)))-1)/IF(E55="",5,E55),0))+IF(OR(D13="",IF(E63="",IF($D$35="",0,$D$35),E63)=0),0,SUMPRODUCT(((D13*1.02^(ROW(INDIRECT("1:"&amp;IF(E56="",10,E56)))-1))-(IF(E64&lt;&gt;"",E64,IF($D$37&lt;&gt;"",$D$37,(E53*(1+IF(E54="",0,E54))^ROUNDDOWN((ROW(INDIRECT("1:"&amp;IF(E56="",10,E56)))-1)/IF(E55="",5,E55),0))/IF(E63="",IF($D$35="",0,$D$35),E63))))&gt;0)*((D13*1.02^(ROW(INDIRECT("1:"&amp;IF(E56="",10,E56)))-1))-(IF(E64&lt;&gt;"",E64,IF($D$37&lt;&gt;"",$D$37,(E53*(1+IF(E54="",0,E54))^ROUNDDOWN((ROW(INDIRECT("1:"&amp;IF(E56="",10,E56)))-1)/IF(E55="",5,E55),0))/IF(E63="",IF($D$35="",0,$D$35),E63))))))*IF(E63="",IF($D$35="",0,$D$35),E63)))</f>
        <v/>
      </c>
      <c r="F72" s="65" t="str">
        <f aca="true">IF(F53="","",SUMPRODUCT(F53*(1+IF(F54="",0,F54))^ROUNDDOWN((ROW(INDIRECT("1:"&amp;IF(F56="",10,F56)))-1)/IF(F55="",5,F55),0))+IF(OR(D13="",IF(F63="",IF($D$35="",0,$D$35),F63)=0),0,SUMPRODUCT(((D13*1.02^(ROW(INDIRECT("1:"&amp;IF(F56="",10,F56)))-1))-(IF(F64&lt;&gt;"",F64,IF($D$37&lt;&gt;"",$D$37,(F53*(1+IF(F54="",0,F54))^ROUNDDOWN((ROW(INDIRECT("1:"&amp;IF(F56="",10,F56)))-1)/IF(F55="",5,F55),0))/IF(F63="",IF($D$35="",0,$D$35),F63))))&gt;0)*((D13*1.02^(ROW(INDIRECT("1:"&amp;IF(F56="",10,F56)))-1))-(IF(F64&lt;&gt;"",F64,IF($D$37&lt;&gt;"",$D$37,(F53*(1+IF(F54="",0,F54))^ROUNDDOWN((ROW(INDIRECT("1:"&amp;IF(F56="",10,F56)))-1)/IF(F55="",5,F55),0))/IF(F63="",IF($D$35="",0,$D$35),F63))))))*IF(F63="",IF($D$35="",0,$D$35),F63)))</f>
        <v/>
      </c>
      <c r="G72" s="65" t="str">
        <f aca="true">IF(G53="","",SUMPRODUCT(G53*(1+IF(G54="",0,G54))^ROUNDDOWN((ROW(INDIRECT("1:"&amp;IF(G56="",10,G56)))-1)/IF(G55="",5,G55),0))+IF(OR(D13="",IF(G63="",IF($D$35="",0,$D$35),G63)=0),0,SUMPRODUCT(((D13*1.02^(ROW(INDIRECT("1:"&amp;IF(G56="",10,G56)))-1))-(IF(G64&lt;&gt;"",G64,IF($D$37&lt;&gt;"",$D$37,(G53*(1+IF(G54="",0,G54))^ROUNDDOWN((ROW(INDIRECT("1:"&amp;IF(G56="",10,G56)))-1)/IF(G55="",5,G55),0))/IF(G63="",IF($D$35="",0,$D$35),G63))))&gt;0)*((D13*1.02^(ROW(INDIRECT("1:"&amp;IF(G56="",10,G56)))-1))-(IF(G64&lt;&gt;"",G64,IF($D$37&lt;&gt;"",$D$37,(G53*(1+IF(G54="",0,G54))^ROUNDDOWN((ROW(INDIRECT("1:"&amp;IF(G56="",10,G56)))-1)/IF(G55="",5,G55),0))/IF(G63="",IF($D$35="",0,$D$35),G63))))))*IF(G63="",IF($D$35="",0,$D$35),G63)))</f>
        <v/>
      </c>
      <c r="H72" s="65" t="str">
        <f aca="true">IF(H53="","",SUMPRODUCT(H53*(1+IF(H54="",0,H54))^ROUNDDOWN((ROW(INDIRECT("1:"&amp;IF(H56="",10,H56)))-1)/IF(H55="",5,H55),0))+IF(OR(D13="",IF(H63="",IF($D$35="",0,$D$35),H63)=0),0,SUMPRODUCT(((D13*1.02^(ROW(INDIRECT("1:"&amp;IF(H56="",10,H56)))-1))-(IF(H64&lt;&gt;"",H64,IF($D$37&lt;&gt;"",$D$37,(H53*(1+IF(H54="",0,H54))^ROUNDDOWN((ROW(INDIRECT("1:"&amp;IF(H56="",10,H56)))-1)/IF(H55="",5,H55),0))/IF(H63="",IF($D$35="",0,$D$35),H63))))&gt;0)*((D13*1.02^(ROW(INDIRECT("1:"&amp;IF(H56="",10,H56)))-1))-(IF(H64&lt;&gt;"",H64,IF($D$37&lt;&gt;"",$D$37,(H53*(1+IF(H54="",0,H54))^ROUNDDOWN((ROW(INDIRECT("1:"&amp;IF(H56="",10,H56)))-1)/IF(H55="",5,H55),0))/IF(H63="",IF($D$35="",0,$D$35),H63))))))*IF(H63="",IF($D$35="",0,$D$35),H63)))</f>
        <v/>
      </c>
    </row>
    <row r="73" customFormat="false" ht="15" hidden="false" customHeight="true" outlineLevel="0" collapsed="false">
      <c r="A73" s="22" t="s">
        <v>374</v>
      </c>
      <c r="B73" s="22"/>
      <c r="C73" s="22"/>
      <c r="D73" s="62" t="n">
        <f aca="false">IF(D53="","",IF(D54="",0,(1+D54)^(5/IF(D55="",5,D55))-1))</f>
        <v>0.02</v>
      </c>
      <c r="E73" s="62" t="str">
        <f aca="false">IF(E53="","",IF(E54="",0,(1+E54)^(5/IF(E55="",5,E55))-1))</f>
        <v/>
      </c>
      <c r="F73" s="62" t="str">
        <f aca="false">IF(F53="","",IF(F54="",0,(1+F54)^(5/IF(F55="",5,F55))-1))</f>
        <v/>
      </c>
      <c r="G73" s="62" t="str">
        <f aca="false">IF(G53="","",IF(G54="",0,(1+G54)^(5/IF(G55="",5,G55))-1))</f>
        <v/>
      </c>
      <c r="H73" s="62" t="str">
        <f aca="false">IF(H53="","",IF(H54="",0,(1+H54)^(5/IF(H55="",5,H55))-1))</f>
        <v/>
      </c>
    </row>
    <row r="74" customFormat="false" ht="43.25" hidden="false" customHeight="true" outlineLevel="0" collapsed="false">
      <c r="A74" s="22" t="s">
        <v>375</v>
      </c>
      <c r="B74" s="22"/>
      <c r="C74" s="22"/>
      <c r="D74" s="66" t="str">
        <f aca="false">IF(D73="","",IF(D73&lt;=0,"REDUCTION / FLAT — ladder steps 1-2 (best)",IF(D73&lt;=0.08,"OK — within 8%/5-yr in-house authority (ladder step 3)","ABOVE 8%/5-yr — CEO SIGN-OFF REQUIRED (Rob 8/5/26)")))</f>
        <v>OK — within 8%/5-yr in-house authority (ladder step 3)</v>
      </c>
      <c r="E74" s="66" t="str">
        <f aca="false">IF(E73="","",IF(E73&lt;=0,"REDUCTION / FLAT — ladder steps 1-2 (best)",IF(E73&lt;=0.08,"OK — within 8%/5-yr in-house authority (ladder step 3)","ABOVE 8%/5-yr — CEO SIGN-OFF REQUIRED (Rob 8/5/26)")))</f>
        <v/>
      </c>
      <c r="F74" s="66" t="str">
        <f aca="false">IF(F73="","",IF(F73&lt;=0,"REDUCTION / FLAT — ladder steps 1-2 (best)",IF(F73&lt;=0.08,"OK — within 8%/5-yr in-house authority (ladder step 3)","ABOVE 8%/5-yr — CEO SIGN-OFF REQUIRED (Rob 8/5/26)")))</f>
        <v/>
      </c>
      <c r="G74" s="66" t="str">
        <f aca="false">IF(G73="","",IF(G73&lt;=0,"REDUCTION / FLAT — ladder steps 1-2 (best)",IF(G73&lt;=0.08,"OK — within 8%/5-yr in-house authority (ladder step 3)","ABOVE 8%/5-yr — CEO SIGN-OFF REQUIRED (Rob 8/5/26)")))</f>
        <v/>
      </c>
      <c r="H74" s="66" t="str">
        <f aca="false">IF(H73="","",IF(H73&lt;=0,"REDUCTION / FLAT — ladder steps 1-2 (best)",IF(H73&lt;=0.08,"OK — within 8%/5-yr in-house authority (ladder step 3)","ABOVE 8%/5-yr — CEO SIGN-OFF REQUIRED (Rob 8/5/26)")))</f>
        <v/>
      </c>
    </row>
    <row r="75" customFormat="false" ht="23.85" hidden="false" customHeight="true" outlineLevel="0" collapsed="false">
      <c r="A75" s="22" t="s">
        <v>376</v>
      </c>
      <c r="B75" s="22"/>
      <c r="C75" s="22"/>
      <c r="D75" s="62" t="n">
        <f aca="false">IF(OR(D53="",D13=""),"",((D53*(1+IF(D54="",0,D54))^ROUNDDOWN(9/IF(D55="",5,D55),0))+IF(IF(D63="",IF($D$35="",0,$D$35),D63)=0,0,MAX(0,D13*1.02^9-IF(D64&lt;&gt;"",D64,IF($D$37&lt;&gt;"",$D$37,(D53*(1+IF(D54="",0,D54))^ROUNDDOWN(9/IF(D55="",5,D55),0))/IF(D63="",IF($D$35="",0,$D$35),D63))))*IF(D63="",IF($D$35="",0,$D$35),D63)))/(D13*1.02^9))</f>
        <v>0.0279095683817599</v>
      </c>
      <c r="E75" s="62" t="str">
        <f aca="false">IF(OR(E53="",D13=""),"",((E53*(1+IF(E54="",0,E54))^ROUNDDOWN(9/IF(E55="",5,E55),0))+IF(IF(E63="",IF($D$35="",0,$D$35),E63)=0,0,MAX(0,D13*1.02^9-IF(E64&lt;&gt;"",E64,IF($D$37&lt;&gt;"",$D$37,(E53*(1+IF(E54="",0,E54))^ROUNDDOWN(9/IF(E55="",5,E55),0))/IF(E63="",IF($D$35="",0,$D$35),E63))))*IF(E63="",IF($D$35="",0,$D$35),E63)))/(D13*1.02^9))</f>
        <v/>
      </c>
      <c r="F75" s="62" t="str">
        <f aca="false">IF(OR(F53="",D13=""),"",((F53*(1+IF(F54="",0,F54))^ROUNDDOWN(9/IF(F55="",5,F55),0))+IF(IF(F63="",IF($D$35="",0,$D$35),F63)=0,0,MAX(0,D13*1.02^9-IF(F64&lt;&gt;"",F64,IF($D$37&lt;&gt;"",$D$37,(F53*(1+IF(F54="",0,F54))^ROUNDDOWN(9/IF(F55="",5,F55),0))/IF(F63="",IF($D$35="",0,$D$35),F63))))*IF(F63="",IF($D$35="",0,$D$35),F63)))/(D13*1.02^9))</f>
        <v/>
      </c>
      <c r="G75" s="62" t="str">
        <f aca="false">IF(OR(G53="",D13=""),"",((G53*(1+IF(G54="",0,G54))^ROUNDDOWN(9/IF(G55="",5,G55),0))+IF(IF(G63="",IF($D$35="",0,$D$35),G63)=0,0,MAX(0,D13*1.02^9-IF(G64&lt;&gt;"",G64,IF($D$37&lt;&gt;"",$D$37,(G53*(1+IF(G54="",0,G54))^ROUNDDOWN(9/IF(G55="",5,G55),0))/IF(G63="",IF($D$35="",0,$D$35),G63))))*IF(G63="",IF($D$35="",0,$D$35),G63)))/(D13*1.02^9))</f>
        <v/>
      </c>
      <c r="H75" s="62" t="str">
        <f aca="false">IF(OR(H53="",D13=""),"",((H53*(1+IF(H54="",0,H54))^ROUNDDOWN(9/IF(H55="",5,H55),0))+IF(IF(H63="",IF($D$35="",0,$D$35),H63)=0,0,MAX(0,D13*1.02^9-IF(H64&lt;&gt;"",H64,IF($D$37&lt;&gt;"",$D$37,(H53*(1+IF(H54="",0,H54))^ROUNDDOWN(9/IF(H55="",5,H55),0))/IF(H63="",IF($D$35="",0,$D$35),H63))))*IF(H63="",IF($D$35="",0,$D$35),H63)))/(D13*1.02^9))</f>
        <v/>
      </c>
    </row>
    <row r="76" customFormat="false" ht="23.85" hidden="false" customHeight="true" outlineLevel="0" collapsed="false">
      <c r="A76" s="22" t="s">
        <v>377</v>
      </c>
      <c r="B76" s="22"/>
      <c r="C76" s="22"/>
      <c r="D76" s="66" t="str">
        <f aca="false">IF(OR(D75="",D68=""),"",IF(MAX(D68,D75)&gt;=0.08,"HARD STOP — occupancy at/above 8% of sales: STOP, CEO sign-off before responding",IF(MAX(D68,D75)&gt;0.07,"Above Kim 7% alert — approaching 8% hard stop","OK — under 7% alert")))</f>
        <v>OK — under 7% alert</v>
      </c>
      <c r="E76" s="66" t="str">
        <f aca="false">IF(OR(E75="",E68=""),"",IF(MAX(E68,E75)&gt;=0.08,"HARD STOP — occupancy at/above 8% of sales: STOP, CEO sign-off before responding",IF(MAX(E68,E75)&gt;0.07,"Above Kim 7% alert — approaching 8% hard stop","OK — under 7% alert")))</f>
        <v/>
      </c>
      <c r="F76" s="66" t="str">
        <f aca="false">IF(OR(F75="",F68=""),"",IF(MAX(F68,F75)&gt;=0.08,"HARD STOP — occupancy at/above 8% of sales: STOP, CEO sign-off before responding",IF(MAX(F68,F75)&gt;0.07,"Above Kim 7% alert — approaching 8% hard stop","OK — under 7% alert")))</f>
        <v/>
      </c>
      <c r="G76" s="66" t="str">
        <f aca="false">IF(OR(G75="",G68=""),"",IF(MAX(G68,G75)&gt;=0.08,"HARD STOP — occupancy at/above 8% of sales: STOP, CEO sign-off before responding",IF(MAX(G68,G75)&gt;0.07,"Above Kim 7% alert — approaching 8% hard stop","OK — under 7% alert")))</f>
        <v/>
      </c>
      <c r="H76" s="66" t="str">
        <f aca="false">IF(OR(H75="",H68=""),"",IF(MAX(H68,H75)&gt;=0.08,"HARD STOP — occupancy at/above 8% of sales: STOP, CEO sign-off before responding",IF(MAX(H68,H75)&gt;0.07,"Above Kim 7% alert — approaching 8% hard stop","OK — under 7% alert")))</f>
        <v/>
      </c>
    </row>
    <row r="78" customFormat="false" ht="22.35" hidden="false" customHeight="true" outlineLevel="0" collapsed="false">
      <c r="A78" s="68" t="s">
        <v>379</v>
      </c>
      <c r="B78" s="68"/>
      <c r="C78" s="68"/>
      <c r="D78" s="68"/>
      <c r="E78" s="68"/>
      <c r="F78" s="68"/>
      <c r="G78" s="68"/>
      <c r="H78" s="68"/>
      <c r="I78" s="68"/>
      <c r="J78" s="68"/>
    </row>
    <row r="80" customFormat="false" ht="15" hidden="false" customHeight="false" outlineLevel="0" collapsed="false">
      <c r="A80" s="69" t="s">
        <v>380</v>
      </c>
      <c r="B80" s="69"/>
      <c r="C80" s="69"/>
      <c r="D80" s="69"/>
      <c r="E80" s="69"/>
      <c r="F80" s="69"/>
      <c r="G80" s="69"/>
      <c r="H80" s="69"/>
      <c r="I80" s="69"/>
      <c r="J80" s="69"/>
    </row>
    <row r="83" customFormat="false" ht="15" hidden="false" customHeight="false" outlineLevel="0" collapsed="false">
      <c r="A83" s="25" t="s">
        <v>381</v>
      </c>
    </row>
    <row r="84" customFormat="false" ht="15" hidden="false" customHeight="false" outlineLevel="0" collapsed="false">
      <c r="A84" s="69" t="s">
        <v>382</v>
      </c>
      <c r="B84" s="69"/>
      <c r="C84" s="69"/>
      <c r="D84" s="69"/>
      <c r="E84" s="69"/>
      <c r="F84" s="69"/>
      <c r="G84" s="69"/>
      <c r="H84" s="69"/>
      <c r="I84" s="69"/>
      <c r="J84" s="69"/>
      <c r="K84" s="69"/>
      <c r="L84" s="69"/>
      <c r="M84" s="69"/>
      <c r="N84" s="69"/>
      <c r="O84" s="69"/>
      <c r="P84" s="69"/>
      <c r="Q84" s="69"/>
      <c r="R84" s="69"/>
      <c r="S84" s="69"/>
      <c r="T84" s="69"/>
    </row>
    <row r="85" customFormat="false" ht="15" hidden="false" customHeight="true" outlineLevel="0" collapsed="false">
      <c r="A85" s="70" t="s">
        <v>383</v>
      </c>
      <c r="B85" s="70" t="s">
        <v>384</v>
      </c>
      <c r="C85" s="71" t="s">
        <v>385</v>
      </c>
      <c r="D85" s="71"/>
      <c r="E85" s="71"/>
      <c r="F85" s="71" t="s">
        <v>386</v>
      </c>
      <c r="G85" s="71"/>
      <c r="H85" s="71"/>
      <c r="I85" s="71" t="s">
        <v>387</v>
      </c>
      <c r="J85" s="71"/>
      <c r="K85" s="71"/>
      <c r="L85" s="71" t="s">
        <v>388</v>
      </c>
      <c r="M85" s="71"/>
      <c r="N85" s="71"/>
      <c r="O85" s="71" t="s">
        <v>389</v>
      </c>
      <c r="P85" s="71"/>
      <c r="Q85" s="71"/>
      <c r="R85" s="72" t="s">
        <v>390</v>
      </c>
      <c r="S85" s="72"/>
      <c r="T85" s="72"/>
    </row>
    <row r="86" customFormat="false" ht="15" hidden="false" customHeight="false" outlineLevel="0" collapsed="false">
      <c r="A86" s="73"/>
      <c r="B86" s="73"/>
      <c r="C86" s="73" t="s">
        <v>391</v>
      </c>
      <c r="D86" s="73" t="s">
        <v>392</v>
      </c>
      <c r="E86" s="73" t="s">
        <v>393</v>
      </c>
      <c r="F86" s="73" t="s">
        <v>391</v>
      </c>
      <c r="G86" s="73" t="s">
        <v>392</v>
      </c>
      <c r="H86" s="73" t="s">
        <v>393</v>
      </c>
      <c r="I86" s="73" t="s">
        <v>391</v>
      </c>
      <c r="J86" s="73" t="s">
        <v>392</v>
      </c>
      <c r="K86" s="73" t="s">
        <v>393</v>
      </c>
      <c r="L86" s="73" t="s">
        <v>391</v>
      </c>
      <c r="M86" s="73" t="s">
        <v>392</v>
      </c>
      <c r="N86" s="73" t="s">
        <v>393</v>
      </c>
      <c r="O86" s="73" t="s">
        <v>391</v>
      </c>
      <c r="P86" s="73" t="s">
        <v>392</v>
      </c>
      <c r="Q86" s="73" t="s">
        <v>393</v>
      </c>
      <c r="R86" s="73" t="s">
        <v>391</v>
      </c>
      <c r="S86" s="73" t="s">
        <v>392</v>
      </c>
      <c r="T86" s="73" t="s">
        <v>393</v>
      </c>
    </row>
    <row r="87" customFormat="false" ht="15" hidden="false" customHeight="false" outlineLevel="0" collapsed="false">
      <c r="A87" s="74" t="n">
        <v>1</v>
      </c>
      <c r="B87" s="75" t="n">
        <v>2364000</v>
      </c>
      <c r="C87" s="76" t="n">
        <v>77304</v>
      </c>
      <c r="D87" s="76" t="n">
        <v>0</v>
      </c>
      <c r="E87" s="76" t="n">
        <v>77304</v>
      </c>
      <c r="F87" s="75" t="n">
        <f aca="false">IF(D53="","",IF(1&gt;IF(D56="",10,D56),"",D53*(1+IF(D54="",0,D54))^ROUNDDOWN((1-1)/IF(D55="",5,D55),0)))</f>
        <v>77304</v>
      </c>
      <c r="G87" s="75" t="n">
        <f aca="false">IF(F87="","",IF((IF(D63="",IF($D$35="",0,$D$35),D63))=0,0,MAX(0,2364000-(IF(D64&lt;&gt;"",D64,IF($D$37&lt;&gt;"",$D$37,IF((IF(D63="",IF($D$35="",0,$D$35),D63))=0,0,D53/(IF(D63="",IF($D$35="",0,$D$35),D63)))))))*(IF(D63="",IF($D$35="",0,$D$35),D63))))</f>
        <v>0</v>
      </c>
      <c r="H87" s="75" t="n">
        <f aca="false">IF(F87="","",F87+G87)</f>
        <v>77304</v>
      </c>
      <c r="I87" s="75" t="str">
        <f aca="false">IF(E53="","",IF(1&gt;IF(E56="",10,E56),"",E53*(1+IF(E54="",0,E54))^ROUNDDOWN((1-1)/IF(E55="",5,E55),0)))</f>
        <v/>
      </c>
      <c r="J87" s="75" t="str">
        <f aca="false">IF(I87="","",IF((IF(E63="",IF($D$35="",0,$D$35),E63))=0,0,MAX(0,2364000-(IF(E64&lt;&gt;"",E64,IF($D$37&lt;&gt;"",$D$37,IF((IF(E63="",IF($D$35="",0,$D$35),E63))=0,0,E53/(IF(E63="",IF($D$35="",0,$D$35),E63)))))))*(IF(E63="",IF($D$35="",0,$D$35),E63))))</f>
        <v/>
      </c>
      <c r="K87" s="75" t="str">
        <f aca="false">IF(I87="","",I87+J87)</f>
        <v/>
      </c>
      <c r="L87" s="75" t="str">
        <f aca="false">IF(F53="","",IF(1&gt;IF(F56="",10,F56),"",F53*(1+IF(F54="",0,F54))^ROUNDDOWN((1-1)/IF(F55="",5,F55),0)))</f>
        <v/>
      </c>
      <c r="M87" s="75" t="str">
        <f aca="false">IF(L87="","",IF((IF(F63="",IF($D$35="",0,$D$35),F63))=0,0,MAX(0,2364000-(IF(F64&lt;&gt;"",F64,IF($D$37&lt;&gt;"",$D$37,IF((IF(F63="",IF($D$35="",0,$D$35),F63))=0,0,F53/(IF(F63="",IF($D$35="",0,$D$35),F63)))))))*(IF(F63="",IF($D$35="",0,$D$35),F63))))</f>
        <v/>
      </c>
      <c r="N87" s="75" t="str">
        <f aca="false">IF(L87="","",L87+M87)</f>
        <v/>
      </c>
      <c r="O87" s="75" t="str">
        <f aca="false">IF(G53="","",IF(1&gt;IF(G56="",10,G56),"",G53*(1+IF(G54="",0,G54))^ROUNDDOWN((1-1)/IF(G55="",5,G55),0)))</f>
        <v/>
      </c>
      <c r="P87" s="75" t="str">
        <f aca="false">IF(O87="","",IF((IF(G63="",IF($D$35="",0,$D$35),G63))=0,0,MAX(0,2364000-(IF(G64&lt;&gt;"",G64,IF($D$37&lt;&gt;"",$D$37,IF((IF(G63="",IF($D$35="",0,$D$35),G63))=0,0,G53/(IF(G63="",IF($D$35="",0,$D$35),G63)))))))*(IF(G63="",IF($D$35="",0,$D$35),G63))))</f>
        <v/>
      </c>
      <c r="Q87" s="75" t="str">
        <f aca="false">IF(O87="","",O87+P87)</f>
        <v/>
      </c>
      <c r="R87" s="75" t="str">
        <f aca="false">IF(H53="","",IF(1&gt;IF(H56="",10,H56),"",H53*(1+IF(H54="",0,H54))^ROUNDDOWN((1-1)/IF(H55="",5,H55),0)))</f>
        <v/>
      </c>
      <c r="S87" s="75" t="str">
        <f aca="false">IF(R87="","",IF((IF(H63="",IF($D$35="",0,$D$35),H63))=0,0,MAX(0,2364000-(IF(H64&lt;&gt;"",H64,IF($D$37&lt;&gt;"",$D$37,IF((IF(H63="",IF($D$35="",0,$D$35),H63))=0,0,H53/(IF(H63="",IF($D$35="",0,$D$35),H63)))))))*(IF(H63="",IF($D$35="",0,$D$35),H63))))</f>
        <v/>
      </c>
      <c r="T87" s="75" t="str">
        <f aca="false">IF(R87="","",R87+S87)</f>
        <v/>
      </c>
    </row>
    <row r="88" customFormat="false" ht="15" hidden="false" customHeight="false" outlineLevel="0" collapsed="false">
      <c r="A88" s="74" t="n">
        <v>2</v>
      </c>
      <c r="B88" s="75" t="n">
        <v>2411280</v>
      </c>
      <c r="C88" s="76" t="n">
        <v>77304</v>
      </c>
      <c r="D88" s="76" t="n">
        <v>0</v>
      </c>
      <c r="E88" s="76" t="n">
        <v>77304</v>
      </c>
      <c r="F88" s="75" t="n">
        <f aca="false">IF(D53="","",IF(2&gt;IF(D56="",10,D56),"",D53*(1+IF(D54="",0,D54))^ROUNDDOWN((2-1)/IF(D55="",5,D55),0)))</f>
        <v>77304</v>
      </c>
      <c r="G88" s="75" t="n">
        <f aca="false">IF(F88="","",IF((IF(D63="",IF($D$35="",0,$D$35),D63))=0,0,MAX(0,2411280-(IF(D64&lt;&gt;"",D64,IF($D$37&lt;&gt;"",$D$37,IF((IF(D63="",IF($D$35="",0,$D$35),D63))=0,0,D53/(IF(D63="",IF($D$35="",0,$D$35),D63)))))))*(IF(D63="",IF($D$35="",0,$D$35),D63))))</f>
        <v>0</v>
      </c>
      <c r="H88" s="75" t="n">
        <f aca="false">IF(F88="","",F88+G88)</f>
        <v>77304</v>
      </c>
      <c r="I88" s="75" t="str">
        <f aca="false">IF(E53="","",IF(2&gt;IF(E56="",10,E56),"",E53*(1+IF(E54="",0,E54))^ROUNDDOWN((2-1)/IF(E55="",5,E55),0)))</f>
        <v/>
      </c>
      <c r="J88" s="75" t="str">
        <f aca="false">IF(I88="","",IF((IF(E63="",IF($D$35="",0,$D$35),E63))=0,0,MAX(0,2411280-(IF(E64&lt;&gt;"",E64,IF($D$37&lt;&gt;"",$D$37,IF((IF(E63="",IF($D$35="",0,$D$35),E63))=0,0,E53/(IF(E63="",IF($D$35="",0,$D$35),E63)))))))*(IF(E63="",IF($D$35="",0,$D$35),E63))))</f>
        <v/>
      </c>
      <c r="K88" s="75" t="str">
        <f aca="false">IF(I88="","",I88+J88)</f>
        <v/>
      </c>
      <c r="L88" s="75" t="str">
        <f aca="false">IF(F53="","",IF(2&gt;IF(F56="",10,F56),"",F53*(1+IF(F54="",0,F54))^ROUNDDOWN((2-1)/IF(F55="",5,F55),0)))</f>
        <v/>
      </c>
      <c r="M88" s="75" t="str">
        <f aca="false">IF(L88="","",IF((IF(F63="",IF($D$35="",0,$D$35),F63))=0,0,MAX(0,2411280-(IF(F64&lt;&gt;"",F64,IF($D$37&lt;&gt;"",$D$37,IF((IF(F63="",IF($D$35="",0,$D$35),F63))=0,0,F53/(IF(F63="",IF($D$35="",0,$D$35),F63)))))))*(IF(F63="",IF($D$35="",0,$D$35),F63))))</f>
        <v/>
      </c>
      <c r="N88" s="75" t="str">
        <f aca="false">IF(L88="","",L88+M88)</f>
        <v/>
      </c>
      <c r="O88" s="75" t="str">
        <f aca="false">IF(G53="","",IF(2&gt;IF(G56="",10,G56),"",G53*(1+IF(G54="",0,G54))^ROUNDDOWN((2-1)/IF(G55="",5,G55),0)))</f>
        <v/>
      </c>
      <c r="P88" s="75" t="str">
        <f aca="false">IF(O88="","",IF((IF(G63="",IF($D$35="",0,$D$35),G63))=0,0,MAX(0,2411280-(IF(G64&lt;&gt;"",G64,IF($D$37&lt;&gt;"",$D$37,IF((IF(G63="",IF($D$35="",0,$D$35),G63))=0,0,G53/(IF(G63="",IF($D$35="",0,$D$35),G63)))))))*(IF(G63="",IF($D$35="",0,$D$35),G63))))</f>
        <v/>
      </c>
      <c r="Q88" s="75" t="str">
        <f aca="false">IF(O88="","",O88+P88)</f>
        <v/>
      </c>
      <c r="R88" s="75" t="str">
        <f aca="false">IF(H53="","",IF(2&gt;IF(H56="",10,H56),"",H53*(1+IF(H54="",0,H54))^ROUNDDOWN((2-1)/IF(H55="",5,H55),0)))</f>
        <v/>
      </c>
      <c r="S88" s="75" t="str">
        <f aca="false">IF(R88="","",IF((IF(H63="",IF($D$35="",0,$D$35),H63))=0,0,MAX(0,2411280-(IF(H64&lt;&gt;"",H64,IF($D$37&lt;&gt;"",$D$37,IF((IF(H63="",IF($D$35="",0,$D$35),H63))=0,0,H53/(IF(H63="",IF($D$35="",0,$D$35),H63)))))))*(IF(H63="",IF($D$35="",0,$D$35),H63))))</f>
        <v/>
      </c>
      <c r="T88" s="75" t="str">
        <f aca="false">IF(R88="","",R88+S88)</f>
        <v/>
      </c>
    </row>
    <row r="89" customFormat="false" ht="15" hidden="false" customHeight="false" outlineLevel="0" collapsed="false">
      <c r="A89" s="74" t="n">
        <v>3</v>
      </c>
      <c r="B89" s="75" t="n">
        <v>2459506</v>
      </c>
      <c r="C89" s="76" t="n">
        <v>77304</v>
      </c>
      <c r="D89" s="76" t="n">
        <v>0</v>
      </c>
      <c r="E89" s="76" t="n">
        <v>77304</v>
      </c>
      <c r="F89" s="75" t="n">
        <f aca="false">IF(D53="","",IF(3&gt;IF(D56="",10,D56),"",D53*(1+IF(D54="",0,D54))^ROUNDDOWN((3-1)/IF(D55="",5,D55),0)))</f>
        <v>77304</v>
      </c>
      <c r="G89" s="75" t="n">
        <f aca="false">IF(F89="","",IF((IF(D63="",IF($D$35="",0,$D$35),D63))=0,0,MAX(0,2459505.6-(IF(D64&lt;&gt;"",D64,IF($D$37&lt;&gt;"",$D$37,IF((IF(D63="",IF($D$35="",0,$D$35),D63))=0,0,D53/(IF(D63="",IF($D$35="",0,$D$35),D63)))))))*(IF(D63="",IF($D$35="",0,$D$35),D63))))</f>
        <v>0</v>
      </c>
      <c r="H89" s="75" t="n">
        <f aca="false">IF(F89="","",F89+G89)</f>
        <v>77304</v>
      </c>
      <c r="I89" s="75" t="str">
        <f aca="false">IF(E53="","",IF(3&gt;IF(E56="",10,E56),"",E53*(1+IF(E54="",0,E54))^ROUNDDOWN((3-1)/IF(E55="",5,E55),0)))</f>
        <v/>
      </c>
      <c r="J89" s="75" t="str">
        <f aca="false">IF(I89="","",IF((IF(E63="",IF($D$35="",0,$D$35),E63))=0,0,MAX(0,2459505.6-(IF(E64&lt;&gt;"",E64,IF($D$37&lt;&gt;"",$D$37,IF((IF(E63="",IF($D$35="",0,$D$35),E63))=0,0,E53/(IF(E63="",IF($D$35="",0,$D$35),E63)))))))*(IF(E63="",IF($D$35="",0,$D$35),E63))))</f>
        <v/>
      </c>
      <c r="K89" s="75" t="str">
        <f aca="false">IF(I89="","",I89+J89)</f>
        <v/>
      </c>
      <c r="L89" s="75" t="str">
        <f aca="false">IF(F53="","",IF(3&gt;IF(F56="",10,F56),"",F53*(1+IF(F54="",0,F54))^ROUNDDOWN((3-1)/IF(F55="",5,F55),0)))</f>
        <v/>
      </c>
      <c r="M89" s="75" t="str">
        <f aca="false">IF(L89="","",IF((IF(F63="",IF($D$35="",0,$D$35),F63))=0,0,MAX(0,2459505.6-(IF(F64&lt;&gt;"",F64,IF($D$37&lt;&gt;"",$D$37,IF((IF(F63="",IF($D$35="",0,$D$35),F63))=0,0,F53/(IF(F63="",IF($D$35="",0,$D$35),F63)))))))*(IF(F63="",IF($D$35="",0,$D$35),F63))))</f>
        <v/>
      </c>
      <c r="N89" s="75" t="str">
        <f aca="false">IF(L89="","",L89+M89)</f>
        <v/>
      </c>
      <c r="O89" s="75" t="str">
        <f aca="false">IF(G53="","",IF(3&gt;IF(G56="",10,G56),"",G53*(1+IF(G54="",0,G54))^ROUNDDOWN((3-1)/IF(G55="",5,G55),0)))</f>
        <v/>
      </c>
      <c r="P89" s="75" t="str">
        <f aca="false">IF(O89="","",IF((IF(G63="",IF($D$35="",0,$D$35),G63))=0,0,MAX(0,2459505.6-(IF(G64&lt;&gt;"",G64,IF($D$37&lt;&gt;"",$D$37,IF((IF(G63="",IF($D$35="",0,$D$35),G63))=0,0,G53/(IF(G63="",IF($D$35="",0,$D$35),G63)))))))*(IF(G63="",IF($D$35="",0,$D$35),G63))))</f>
        <v/>
      </c>
      <c r="Q89" s="75" t="str">
        <f aca="false">IF(O89="","",O89+P89)</f>
        <v/>
      </c>
      <c r="R89" s="75" t="str">
        <f aca="false">IF(H53="","",IF(3&gt;IF(H56="",10,H56),"",H53*(1+IF(H54="",0,H54))^ROUNDDOWN((3-1)/IF(H55="",5,H55),0)))</f>
        <v/>
      </c>
      <c r="S89" s="75" t="str">
        <f aca="false">IF(R89="","",IF((IF(H63="",IF($D$35="",0,$D$35),H63))=0,0,MAX(0,2459505.6-(IF(H64&lt;&gt;"",H64,IF($D$37&lt;&gt;"",$D$37,IF((IF(H63="",IF($D$35="",0,$D$35),H63))=0,0,H53/(IF(H63="",IF($D$35="",0,$D$35),H63)))))))*(IF(H63="",IF($D$35="",0,$D$35),H63))))</f>
        <v/>
      </c>
      <c r="T89" s="75" t="str">
        <f aca="false">IF(R89="","",R89+S89)</f>
        <v/>
      </c>
    </row>
    <row r="90" customFormat="false" ht="15" hidden="false" customHeight="false" outlineLevel="0" collapsed="false">
      <c r="A90" s="74" t="n">
        <v>4</v>
      </c>
      <c r="B90" s="75" t="n">
        <v>2508696</v>
      </c>
      <c r="C90" s="76" t="n">
        <v>77304</v>
      </c>
      <c r="D90" s="76" t="n">
        <v>0</v>
      </c>
      <c r="E90" s="76" t="n">
        <v>77304</v>
      </c>
      <c r="F90" s="75" t="n">
        <f aca="false">IF(D53="","",IF(4&gt;IF(D56="",10,D56),"",D53*(1+IF(D54="",0,D54))^ROUNDDOWN((4-1)/IF(D55="",5,D55),0)))</f>
        <v>77304</v>
      </c>
      <c r="G90" s="75" t="n">
        <f aca="false">IF(F90="","",IF((IF(D63="",IF($D$35="",0,$D$35),D63))=0,0,MAX(0,2508695.71-(IF(D64&lt;&gt;"",D64,IF($D$37&lt;&gt;"",$D$37,IF((IF(D63="",IF($D$35="",0,$D$35),D63))=0,0,D53/(IF(D63="",IF($D$35="",0,$D$35),D63)))))))*(IF(D63="",IF($D$35="",0,$D$35),D63))))</f>
        <v>0</v>
      </c>
      <c r="H90" s="75" t="n">
        <f aca="false">IF(F90="","",F90+G90)</f>
        <v>77304</v>
      </c>
      <c r="I90" s="75" t="str">
        <f aca="false">IF(E53="","",IF(4&gt;IF(E56="",10,E56),"",E53*(1+IF(E54="",0,E54))^ROUNDDOWN((4-1)/IF(E55="",5,E55),0)))</f>
        <v/>
      </c>
      <c r="J90" s="75" t="str">
        <f aca="false">IF(I90="","",IF((IF(E63="",IF($D$35="",0,$D$35),E63))=0,0,MAX(0,2508695.71-(IF(E64&lt;&gt;"",E64,IF($D$37&lt;&gt;"",$D$37,IF((IF(E63="",IF($D$35="",0,$D$35),E63))=0,0,E53/(IF(E63="",IF($D$35="",0,$D$35),E63)))))))*(IF(E63="",IF($D$35="",0,$D$35),E63))))</f>
        <v/>
      </c>
      <c r="K90" s="75" t="str">
        <f aca="false">IF(I90="","",I90+J90)</f>
        <v/>
      </c>
      <c r="L90" s="75" t="str">
        <f aca="false">IF(F53="","",IF(4&gt;IF(F56="",10,F56),"",F53*(1+IF(F54="",0,F54))^ROUNDDOWN((4-1)/IF(F55="",5,F55),0)))</f>
        <v/>
      </c>
      <c r="M90" s="75" t="str">
        <f aca="false">IF(L90="","",IF((IF(F63="",IF($D$35="",0,$D$35),F63))=0,0,MAX(0,2508695.71-(IF(F64&lt;&gt;"",F64,IF($D$37&lt;&gt;"",$D$37,IF((IF(F63="",IF($D$35="",0,$D$35),F63))=0,0,F53/(IF(F63="",IF($D$35="",0,$D$35),F63)))))))*(IF(F63="",IF($D$35="",0,$D$35),F63))))</f>
        <v/>
      </c>
      <c r="N90" s="75" t="str">
        <f aca="false">IF(L90="","",L90+M90)</f>
        <v/>
      </c>
      <c r="O90" s="75" t="str">
        <f aca="false">IF(G53="","",IF(4&gt;IF(G56="",10,G56),"",G53*(1+IF(G54="",0,G54))^ROUNDDOWN((4-1)/IF(G55="",5,G55),0)))</f>
        <v/>
      </c>
      <c r="P90" s="75" t="str">
        <f aca="false">IF(O90="","",IF((IF(G63="",IF($D$35="",0,$D$35),G63))=0,0,MAX(0,2508695.71-(IF(G64&lt;&gt;"",G64,IF($D$37&lt;&gt;"",$D$37,IF((IF(G63="",IF($D$35="",0,$D$35),G63))=0,0,G53/(IF(G63="",IF($D$35="",0,$D$35),G63)))))))*(IF(G63="",IF($D$35="",0,$D$35),G63))))</f>
        <v/>
      </c>
      <c r="Q90" s="75" t="str">
        <f aca="false">IF(O90="","",O90+P90)</f>
        <v/>
      </c>
      <c r="R90" s="75" t="str">
        <f aca="false">IF(H53="","",IF(4&gt;IF(H56="",10,H56),"",H53*(1+IF(H54="",0,H54))^ROUNDDOWN((4-1)/IF(H55="",5,H55),0)))</f>
        <v/>
      </c>
      <c r="S90" s="75" t="str">
        <f aca="false">IF(R90="","",IF((IF(H63="",IF($D$35="",0,$D$35),H63))=0,0,MAX(0,2508695.71-(IF(H64&lt;&gt;"",H64,IF($D$37&lt;&gt;"",$D$37,IF((IF(H63="",IF($D$35="",0,$D$35),H63))=0,0,H53/(IF(H63="",IF($D$35="",0,$D$35),H63)))))))*(IF(H63="",IF($D$35="",0,$D$35),H63))))</f>
        <v/>
      </c>
      <c r="T90" s="75" t="str">
        <f aca="false">IF(R90="","",R90+S90)</f>
        <v/>
      </c>
    </row>
    <row r="91" customFormat="false" ht="15" hidden="false" customHeight="false" outlineLevel="0" collapsed="false">
      <c r="A91" s="74" t="n">
        <v>5</v>
      </c>
      <c r="B91" s="75" t="n">
        <v>2558870</v>
      </c>
      <c r="C91" s="76" t="n">
        <v>77304</v>
      </c>
      <c r="D91" s="76" t="n">
        <v>0</v>
      </c>
      <c r="E91" s="76" t="n">
        <v>77304</v>
      </c>
      <c r="F91" s="75" t="n">
        <f aca="false">IF(D53="","",IF(5&gt;IF(D56="",10,D56),"",D53*(1+IF(D54="",0,D54))^ROUNDDOWN((5-1)/IF(D55="",5,D55),0)))</f>
        <v>77304</v>
      </c>
      <c r="G91" s="75" t="n">
        <f aca="false">IF(F91="","",IF((IF(D63="",IF($D$35="",0,$D$35),D63))=0,0,MAX(0,2558869.63-(IF(D64&lt;&gt;"",D64,IF($D$37&lt;&gt;"",$D$37,IF((IF(D63="",IF($D$35="",0,$D$35),D63))=0,0,D53/(IF(D63="",IF($D$35="",0,$D$35),D63)))))))*(IF(D63="",IF($D$35="",0,$D$35),D63))))</f>
        <v>0</v>
      </c>
      <c r="H91" s="75" t="n">
        <f aca="false">IF(F91="","",F91+G91)</f>
        <v>77304</v>
      </c>
      <c r="I91" s="75" t="str">
        <f aca="false">IF(E53="","",IF(5&gt;IF(E56="",10,E56),"",E53*(1+IF(E54="",0,E54))^ROUNDDOWN((5-1)/IF(E55="",5,E55),0)))</f>
        <v/>
      </c>
      <c r="J91" s="75" t="str">
        <f aca="false">IF(I91="","",IF((IF(E63="",IF($D$35="",0,$D$35),E63))=0,0,MAX(0,2558869.63-(IF(E64&lt;&gt;"",E64,IF($D$37&lt;&gt;"",$D$37,IF((IF(E63="",IF($D$35="",0,$D$35),E63))=0,0,E53/(IF(E63="",IF($D$35="",0,$D$35),E63)))))))*(IF(E63="",IF($D$35="",0,$D$35),E63))))</f>
        <v/>
      </c>
      <c r="K91" s="75" t="str">
        <f aca="false">IF(I91="","",I91+J91)</f>
        <v/>
      </c>
      <c r="L91" s="75" t="str">
        <f aca="false">IF(F53="","",IF(5&gt;IF(F56="",10,F56),"",F53*(1+IF(F54="",0,F54))^ROUNDDOWN((5-1)/IF(F55="",5,F55),0)))</f>
        <v/>
      </c>
      <c r="M91" s="75" t="str">
        <f aca="false">IF(L91="","",IF((IF(F63="",IF($D$35="",0,$D$35),F63))=0,0,MAX(0,2558869.63-(IF(F64&lt;&gt;"",F64,IF($D$37&lt;&gt;"",$D$37,IF((IF(F63="",IF($D$35="",0,$D$35),F63))=0,0,F53/(IF(F63="",IF($D$35="",0,$D$35),F63)))))))*(IF(F63="",IF($D$35="",0,$D$35),F63))))</f>
        <v/>
      </c>
      <c r="N91" s="75" t="str">
        <f aca="false">IF(L91="","",L91+M91)</f>
        <v/>
      </c>
      <c r="O91" s="75" t="str">
        <f aca="false">IF(G53="","",IF(5&gt;IF(G56="",10,G56),"",G53*(1+IF(G54="",0,G54))^ROUNDDOWN((5-1)/IF(G55="",5,G55),0)))</f>
        <v/>
      </c>
      <c r="P91" s="75" t="str">
        <f aca="false">IF(O91="","",IF((IF(G63="",IF($D$35="",0,$D$35),G63))=0,0,MAX(0,2558869.63-(IF(G64&lt;&gt;"",G64,IF($D$37&lt;&gt;"",$D$37,IF((IF(G63="",IF($D$35="",0,$D$35),G63))=0,0,G53/(IF(G63="",IF($D$35="",0,$D$35),G63)))))))*(IF(G63="",IF($D$35="",0,$D$35),G63))))</f>
        <v/>
      </c>
      <c r="Q91" s="75" t="str">
        <f aca="false">IF(O91="","",O91+P91)</f>
        <v/>
      </c>
      <c r="R91" s="75" t="str">
        <f aca="false">IF(H53="","",IF(5&gt;IF(H56="",10,H56),"",H53*(1+IF(H54="",0,H54))^ROUNDDOWN((5-1)/IF(H55="",5,H55),0)))</f>
        <v/>
      </c>
      <c r="S91" s="75" t="str">
        <f aca="false">IF(R91="","",IF((IF(H63="",IF($D$35="",0,$D$35),H63))=0,0,MAX(0,2558869.63-(IF(H64&lt;&gt;"",H64,IF($D$37&lt;&gt;"",$D$37,IF((IF(H63="",IF($D$35="",0,$D$35),H63))=0,0,H53/(IF(H63="",IF($D$35="",0,$D$35),H63)))))))*(IF(H63="",IF($D$35="",0,$D$35),H63))))</f>
        <v/>
      </c>
      <c r="T91" s="75" t="str">
        <f aca="false">IF(R91="","",R91+S91)</f>
        <v/>
      </c>
    </row>
    <row r="92" customFormat="false" ht="15" hidden="false" customHeight="false" outlineLevel="0" collapsed="false">
      <c r="A92" s="74" t="n">
        <v>6</v>
      </c>
      <c r="B92" s="75" t="n">
        <v>2610047</v>
      </c>
      <c r="C92" s="76" t="n">
        <v>85039</v>
      </c>
      <c r="D92" s="76" t="n">
        <v>0</v>
      </c>
      <c r="E92" s="76" t="n">
        <v>85039</v>
      </c>
      <c r="F92" s="75" t="n">
        <f aca="false">IF(D53="","",IF(6&gt;IF(D56="",10,D56),"",D53*(1+IF(D54="",0,D54))^ROUNDDOWN((6-1)/IF(D55="",5,D55),0)))</f>
        <v>78850.08</v>
      </c>
      <c r="G92" s="75" t="n">
        <f aca="false">IF(F92="","",IF((IF(D63="",IF($D$35="",0,$D$35),D63))=0,0,MAX(0,2610047.02-(IF(D64&lt;&gt;"",D64,IF($D$37&lt;&gt;"",$D$37,IF((IF(D63="",IF($D$35="",0,$D$35),D63))=0,0,D53/(IF(D63="",IF($D$35="",0,$D$35),D63)))))))*(IF(D63="",IF($D$35="",0,$D$35),D63))))</f>
        <v>0</v>
      </c>
      <c r="H92" s="75" t="n">
        <f aca="false">IF(F92="","",F92+G92)</f>
        <v>78850.08</v>
      </c>
      <c r="I92" s="75" t="str">
        <f aca="false">IF(E53="","",IF(6&gt;IF(E56="",10,E56),"",E53*(1+IF(E54="",0,E54))^ROUNDDOWN((6-1)/IF(E55="",5,E55),0)))</f>
        <v/>
      </c>
      <c r="J92" s="75" t="str">
        <f aca="false">IF(I92="","",IF((IF(E63="",IF($D$35="",0,$D$35),E63))=0,0,MAX(0,2610047.02-(IF(E64&lt;&gt;"",E64,IF($D$37&lt;&gt;"",$D$37,IF((IF(E63="",IF($D$35="",0,$D$35),E63))=0,0,E53/(IF(E63="",IF($D$35="",0,$D$35),E63)))))))*(IF(E63="",IF($D$35="",0,$D$35),E63))))</f>
        <v/>
      </c>
      <c r="K92" s="75" t="str">
        <f aca="false">IF(I92="","",I92+J92)</f>
        <v/>
      </c>
      <c r="L92" s="75" t="str">
        <f aca="false">IF(F53="","",IF(6&gt;IF(F56="",10,F56),"",F53*(1+IF(F54="",0,F54))^ROUNDDOWN((6-1)/IF(F55="",5,F55),0)))</f>
        <v/>
      </c>
      <c r="M92" s="75" t="str">
        <f aca="false">IF(L92="","",IF((IF(F63="",IF($D$35="",0,$D$35),F63))=0,0,MAX(0,2610047.02-(IF(F64&lt;&gt;"",F64,IF($D$37&lt;&gt;"",$D$37,IF((IF(F63="",IF($D$35="",0,$D$35),F63))=0,0,F53/(IF(F63="",IF($D$35="",0,$D$35),F63)))))))*(IF(F63="",IF($D$35="",0,$D$35),F63))))</f>
        <v/>
      </c>
      <c r="N92" s="75" t="str">
        <f aca="false">IF(L92="","",L92+M92)</f>
        <v/>
      </c>
      <c r="O92" s="75" t="str">
        <f aca="false">IF(G53="","",IF(6&gt;IF(G56="",10,G56),"",G53*(1+IF(G54="",0,G54))^ROUNDDOWN((6-1)/IF(G55="",5,G55),0)))</f>
        <v/>
      </c>
      <c r="P92" s="75" t="str">
        <f aca="false">IF(O92="","",IF((IF(G63="",IF($D$35="",0,$D$35),G63))=0,0,MAX(0,2610047.02-(IF(G64&lt;&gt;"",G64,IF($D$37&lt;&gt;"",$D$37,IF((IF(G63="",IF($D$35="",0,$D$35),G63))=0,0,G53/(IF(G63="",IF($D$35="",0,$D$35),G63)))))))*(IF(G63="",IF($D$35="",0,$D$35),G63))))</f>
        <v/>
      </c>
      <c r="Q92" s="75" t="str">
        <f aca="false">IF(O92="","",O92+P92)</f>
        <v/>
      </c>
      <c r="R92" s="75" t="str">
        <f aca="false">IF(H53="","",IF(6&gt;IF(H56="",10,H56),"",H53*(1+IF(H54="",0,H54))^ROUNDDOWN((6-1)/IF(H55="",5,H55),0)))</f>
        <v/>
      </c>
      <c r="S92" s="75" t="str">
        <f aca="false">IF(R92="","",IF((IF(H63="",IF($D$35="",0,$D$35),H63))=0,0,MAX(0,2610047.02-(IF(H64&lt;&gt;"",H64,IF($D$37&lt;&gt;"",$D$37,IF((IF(H63="",IF($D$35="",0,$D$35),H63))=0,0,H53/(IF(H63="",IF($D$35="",0,$D$35),H63)))))))*(IF(H63="",IF($D$35="",0,$D$35),H63))))</f>
        <v/>
      </c>
      <c r="T92" s="75" t="str">
        <f aca="false">IF(R92="","",R92+S92)</f>
        <v/>
      </c>
    </row>
    <row r="93" customFormat="false" ht="15" hidden="false" customHeight="false" outlineLevel="0" collapsed="false">
      <c r="A93" s="74" t="n">
        <v>7</v>
      </c>
      <c r="B93" s="75" t="n">
        <v>2662248</v>
      </c>
      <c r="C93" s="76" t="n">
        <v>85039</v>
      </c>
      <c r="D93" s="76" t="n">
        <v>0</v>
      </c>
      <c r="E93" s="76" t="n">
        <v>85039</v>
      </c>
      <c r="F93" s="75" t="n">
        <f aca="false">IF(D53="","",IF(7&gt;IF(D56="",10,D56),"",D53*(1+IF(D54="",0,D54))^ROUNDDOWN((7-1)/IF(D55="",5,D55),0)))</f>
        <v>78850.08</v>
      </c>
      <c r="G93" s="75" t="n">
        <f aca="false">IF(F93="","",IF((IF(D63="",IF($D$35="",0,$D$35),D63))=0,0,MAX(0,2662247.96-(IF(D64&lt;&gt;"",D64,IF($D$37&lt;&gt;"",$D$37,IF((IF(D63="",IF($D$35="",0,$D$35),D63))=0,0,D53/(IF(D63="",IF($D$35="",0,$D$35),D63)))))))*(IF(D63="",IF($D$35="",0,$D$35),D63))))</f>
        <v>0</v>
      </c>
      <c r="H93" s="75" t="n">
        <f aca="false">IF(F93="","",F93+G93)</f>
        <v>78850.08</v>
      </c>
      <c r="I93" s="75" t="str">
        <f aca="false">IF(E53="","",IF(7&gt;IF(E56="",10,E56),"",E53*(1+IF(E54="",0,E54))^ROUNDDOWN((7-1)/IF(E55="",5,E55),0)))</f>
        <v/>
      </c>
      <c r="J93" s="75" t="str">
        <f aca="false">IF(I93="","",IF((IF(E63="",IF($D$35="",0,$D$35),E63))=0,0,MAX(0,2662247.96-(IF(E64&lt;&gt;"",E64,IF($D$37&lt;&gt;"",$D$37,IF((IF(E63="",IF($D$35="",0,$D$35),E63))=0,0,E53/(IF(E63="",IF($D$35="",0,$D$35),E63)))))))*(IF(E63="",IF($D$35="",0,$D$35),E63))))</f>
        <v/>
      </c>
      <c r="K93" s="75" t="str">
        <f aca="false">IF(I93="","",I93+J93)</f>
        <v/>
      </c>
      <c r="L93" s="75" t="str">
        <f aca="false">IF(F53="","",IF(7&gt;IF(F56="",10,F56),"",F53*(1+IF(F54="",0,F54))^ROUNDDOWN((7-1)/IF(F55="",5,F55),0)))</f>
        <v/>
      </c>
      <c r="M93" s="75" t="str">
        <f aca="false">IF(L93="","",IF((IF(F63="",IF($D$35="",0,$D$35),F63))=0,0,MAX(0,2662247.96-(IF(F64&lt;&gt;"",F64,IF($D$37&lt;&gt;"",$D$37,IF((IF(F63="",IF($D$35="",0,$D$35),F63))=0,0,F53/(IF(F63="",IF($D$35="",0,$D$35),F63)))))))*(IF(F63="",IF($D$35="",0,$D$35),F63))))</f>
        <v/>
      </c>
      <c r="N93" s="75" t="str">
        <f aca="false">IF(L93="","",L93+M93)</f>
        <v/>
      </c>
      <c r="O93" s="75" t="str">
        <f aca="false">IF(G53="","",IF(7&gt;IF(G56="",10,G56),"",G53*(1+IF(G54="",0,G54))^ROUNDDOWN((7-1)/IF(G55="",5,G55),0)))</f>
        <v/>
      </c>
      <c r="P93" s="75" t="str">
        <f aca="false">IF(O93="","",IF((IF(G63="",IF($D$35="",0,$D$35),G63))=0,0,MAX(0,2662247.96-(IF(G64&lt;&gt;"",G64,IF($D$37&lt;&gt;"",$D$37,IF((IF(G63="",IF($D$35="",0,$D$35),G63))=0,0,G53/(IF(G63="",IF($D$35="",0,$D$35),G63)))))))*(IF(G63="",IF($D$35="",0,$D$35),G63))))</f>
        <v/>
      </c>
      <c r="Q93" s="75" t="str">
        <f aca="false">IF(O93="","",O93+P93)</f>
        <v/>
      </c>
      <c r="R93" s="75" t="str">
        <f aca="false">IF(H53="","",IF(7&gt;IF(H56="",10,H56),"",H53*(1+IF(H54="",0,H54))^ROUNDDOWN((7-1)/IF(H55="",5,H55),0)))</f>
        <v/>
      </c>
      <c r="S93" s="75" t="str">
        <f aca="false">IF(R93="","",IF((IF(H63="",IF($D$35="",0,$D$35),H63))=0,0,MAX(0,2662247.96-(IF(H64&lt;&gt;"",H64,IF($D$37&lt;&gt;"",$D$37,IF((IF(H63="",IF($D$35="",0,$D$35),H63))=0,0,H53/(IF(H63="",IF($D$35="",0,$D$35),H63)))))))*(IF(H63="",IF($D$35="",0,$D$35),H63))))</f>
        <v/>
      </c>
      <c r="T93" s="75" t="str">
        <f aca="false">IF(R93="","",R93+S93)</f>
        <v/>
      </c>
    </row>
    <row r="94" customFormat="false" ht="15" hidden="false" customHeight="false" outlineLevel="0" collapsed="false">
      <c r="A94" s="74" t="n">
        <v>8</v>
      </c>
      <c r="B94" s="75" t="n">
        <v>2715493</v>
      </c>
      <c r="C94" s="76" t="n">
        <v>85039</v>
      </c>
      <c r="D94" s="76" t="n">
        <v>0</v>
      </c>
      <c r="E94" s="76" t="n">
        <v>85039</v>
      </c>
      <c r="F94" s="75" t="n">
        <f aca="false">IF(D53="","",IF(8&gt;IF(D56="",10,D56),"",D53*(1+IF(D54="",0,D54))^ROUNDDOWN((8-1)/IF(D55="",5,D55),0)))</f>
        <v>78850.08</v>
      </c>
      <c r="G94" s="75" t="n">
        <f aca="false">IF(F94="","",IF((IF(D63="",IF($D$35="",0,$D$35),D63))=0,0,MAX(0,2715492.92-(IF(D64&lt;&gt;"",D64,IF($D$37&lt;&gt;"",$D$37,IF((IF(D63="",IF($D$35="",0,$D$35),D63))=0,0,D53/(IF(D63="",IF($D$35="",0,$D$35),D63)))))))*(IF(D63="",IF($D$35="",0,$D$35),D63))))</f>
        <v>0</v>
      </c>
      <c r="H94" s="75" t="n">
        <f aca="false">IF(F94="","",F94+G94)</f>
        <v>78850.08</v>
      </c>
      <c r="I94" s="75" t="str">
        <f aca="false">IF(E53="","",IF(8&gt;IF(E56="",10,E56),"",E53*(1+IF(E54="",0,E54))^ROUNDDOWN((8-1)/IF(E55="",5,E55),0)))</f>
        <v/>
      </c>
      <c r="J94" s="75" t="str">
        <f aca="false">IF(I94="","",IF((IF(E63="",IF($D$35="",0,$D$35),E63))=0,0,MAX(0,2715492.92-(IF(E64&lt;&gt;"",E64,IF($D$37&lt;&gt;"",$D$37,IF((IF(E63="",IF($D$35="",0,$D$35),E63))=0,0,E53/(IF(E63="",IF($D$35="",0,$D$35),E63)))))))*(IF(E63="",IF($D$35="",0,$D$35),E63))))</f>
        <v/>
      </c>
      <c r="K94" s="75" t="str">
        <f aca="false">IF(I94="","",I94+J94)</f>
        <v/>
      </c>
      <c r="L94" s="75" t="str">
        <f aca="false">IF(F53="","",IF(8&gt;IF(F56="",10,F56),"",F53*(1+IF(F54="",0,F54))^ROUNDDOWN((8-1)/IF(F55="",5,F55),0)))</f>
        <v/>
      </c>
      <c r="M94" s="75" t="str">
        <f aca="false">IF(L94="","",IF((IF(F63="",IF($D$35="",0,$D$35),F63))=0,0,MAX(0,2715492.92-(IF(F64&lt;&gt;"",F64,IF($D$37&lt;&gt;"",$D$37,IF((IF(F63="",IF($D$35="",0,$D$35),F63))=0,0,F53/(IF(F63="",IF($D$35="",0,$D$35),F63)))))))*(IF(F63="",IF($D$35="",0,$D$35),F63))))</f>
        <v/>
      </c>
      <c r="N94" s="75" t="str">
        <f aca="false">IF(L94="","",L94+M94)</f>
        <v/>
      </c>
      <c r="O94" s="75" t="str">
        <f aca="false">IF(G53="","",IF(8&gt;IF(G56="",10,G56),"",G53*(1+IF(G54="",0,G54))^ROUNDDOWN((8-1)/IF(G55="",5,G55),0)))</f>
        <v/>
      </c>
      <c r="P94" s="75" t="str">
        <f aca="false">IF(O94="","",IF((IF(G63="",IF($D$35="",0,$D$35),G63))=0,0,MAX(0,2715492.92-(IF(G64&lt;&gt;"",G64,IF($D$37&lt;&gt;"",$D$37,IF((IF(G63="",IF($D$35="",0,$D$35),G63))=0,0,G53/(IF(G63="",IF($D$35="",0,$D$35),G63)))))))*(IF(G63="",IF($D$35="",0,$D$35),G63))))</f>
        <v/>
      </c>
      <c r="Q94" s="75" t="str">
        <f aca="false">IF(O94="","",O94+P94)</f>
        <v/>
      </c>
      <c r="R94" s="75" t="str">
        <f aca="false">IF(H53="","",IF(8&gt;IF(H56="",10,H56),"",H53*(1+IF(H54="",0,H54))^ROUNDDOWN((8-1)/IF(H55="",5,H55),0)))</f>
        <v/>
      </c>
      <c r="S94" s="75" t="str">
        <f aca="false">IF(R94="","",IF((IF(H63="",IF($D$35="",0,$D$35),H63))=0,0,MAX(0,2715492.92-(IF(H64&lt;&gt;"",H64,IF($D$37&lt;&gt;"",$D$37,IF((IF(H63="",IF($D$35="",0,$D$35),H63))=0,0,H53/(IF(H63="",IF($D$35="",0,$D$35),H63)))))))*(IF(H63="",IF($D$35="",0,$D$35),H63))))</f>
        <v/>
      </c>
      <c r="T94" s="75" t="str">
        <f aca="false">IF(R94="","",R94+S94)</f>
        <v/>
      </c>
    </row>
    <row r="95" customFormat="false" ht="15" hidden="false" customHeight="false" outlineLevel="0" collapsed="false">
      <c r="A95" s="74" t="n">
        <v>9</v>
      </c>
      <c r="B95" s="75" t="n">
        <v>2769803</v>
      </c>
      <c r="C95" s="76" t="n">
        <v>85039</v>
      </c>
      <c r="D95" s="76" t="n">
        <v>0</v>
      </c>
      <c r="E95" s="76" t="n">
        <v>85039</v>
      </c>
      <c r="F95" s="75" t="n">
        <f aca="false">IF(D53="","",IF(9&gt;IF(D56="",10,D56),"",D53*(1+IF(D54="",0,D54))^ROUNDDOWN((9-1)/IF(D55="",5,D55),0)))</f>
        <v>78850.08</v>
      </c>
      <c r="G95" s="75" t="n">
        <f aca="false">IF(F95="","",IF((IF(D63="",IF($D$35="",0,$D$35),D63))=0,0,MAX(0,2769802.78-(IF(D64&lt;&gt;"",D64,IF($D$37&lt;&gt;"",$D$37,IF((IF(D63="",IF($D$35="",0,$D$35),D63))=0,0,D53/(IF(D63="",IF($D$35="",0,$D$35),D63)))))))*(IF(D63="",IF($D$35="",0,$D$35),D63))))</f>
        <v>0</v>
      </c>
      <c r="H95" s="75" t="n">
        <f aca="false">IF(F95="","",F95+G95)</f>
        <v>78850.08</v>
      </c>
      <c r="I95" s="75" t="str">
        <f aca="false">IF(E53="","",IF(9&gt;IF(E56="",10,E56),"",E53*(1+IF(E54="",0,E54))^ROUNDDOWN((9-1)/IF(E55="",5,E55),0)))</f>
        <v/>
      </c>
      <c r="J95" s="75" t="str">
        <f aca="false">IF(I95="","",IF((IF(E63="",IF($D$35="",0,$D$35),E63))=0,0,MAX(0,2769802.78-(IF(E64&lt;&gt;"",E64,IF($D$37&lt;&gt;"",$D$37,IF((IF(E63="",IF($D$35="",0,$D$35),E63))=0,0,E53/(IF(E63="",IF($D$35="",0,$D$35),E63)))))))*(IF(E63="",IF($D$35="",0,$D$35),E63))))</f>
        <v/>
      </c>
      <c r="K95" s="75" t="str">
        <f aca="false">IF(I95="","",I95+J95)</f>
        <v/>
      </c>
      <c r="L95" s="75" t="str">
        <f aca="false">IF(F53="","",IF(9&gt;IF(F56="",10,F56),"",F53*(1+IF(F54="",0,F54))^ROUNDDOWN((9-1)/IF(F55="",5,F55),0)))</f>
        <v/>
      </c>
      <c r="M95" s="75" t="str">
        <f aca="false">IF(L95="","",IF((IF(F63="",IF($D$35="",0,$D$35),F63))=0,0,MAX(0,2769802.78-(IF(F64&lt;&gt;"",F64,IF($D$37&lt;&gt;"",$D$37,IF((IF(F63="",IF($D$35="",0,$D$35),F63))=0,0,F53/(IF(F63="",IF($D$35="",0,$D$35),F63)))))))*(IF(F63="",IF($D$35="",0,$D$35),F63))))</f>
        <v/>
      </c>
      <c r="N95" s="75" t="str">
        <f aca="false">IF(L95="","",L95+M95)</f>
        <v/>
      </c>
      <c r="O95" s="75" t="str">
        <f aca="false">IF(G53="","",IF(9&gt;IF(G56="",10,G56),"",G53*(1+IF(G54="",0,G54))^ROUNDDOWN((9-1)/IF(G55="",5,G55),0)))</f>
        <v/>
      </c>
      <c r="P95" s="75" t="str">
        <f aca="false">IF(O95="","",IF((IF(G63="",IF($D$35="",0,$D$35),G63))=0,0,MAX(0,2769802.78-(IF(G64&lt;&gt;"",G64,IF($D$37&lt;&gt;"",$D$37,IF((IF(G63="",IF($D$35="",0,$D$35),G63))=0,0,G53/(IF(G63="",IF($D$35="",0,$D$35),G63)))))))*(IF(G63="",IF($D$35="",0,$D$35),G63))))</f>
        <v/>
      </c>
      <c r="Q95" s="75" t="str">
        <f aca="false">IF(O95="","",O95+P95)</f>
        <v/>
      </c>
      <c r="R95" s="75" t="str">
        <f aca="false">IF(H53="","",IF(9&gt;IF(H56="",10,H56),"",H53*(1+IF(H54="",0,H54))^ROUNDDOWN((9-1)/IF(H55="",5,H55),0)))</f>
        <v/>
      </c>
      <c r="S95" s="75" t="str">
        <f aca="false">IF(R95="","",IF((IF(H63="",IF($D$35="",0,$D$35),H63))=0,0,MAX(0,2769802.78-(IF(H64&lt;&gt;"",H64,IF($D$37&lt;&gt;"",$D$37,IF((IF(H63="",IF($D$35="",0,$D$35),H63))=0,0,H53/(IF(H63="",IF($D$35="",0,$D$35),H63)))))))*(IF(H63="",IF($D$35="",0,$D$35),H63))))</f>
        <v/>
      </c>
      <c r="T95" s="75" t="str">
        <f aca="false">IF(R95="","",R95+S95)</f>
        <v/>
      </c>
    </row>
    <row r="96" customFormat="false" ht="15" hidden="false" customHeight="false" outlineLevel="0" collapsed="false">
      <c r="A96" s="74" t="n">
        <v>10</v>
      </c>
      <c r="B96" s="75" t="n">
        <v>2825199</v>
      </c>
      <c r="C96" s="76" t="n">
        <v>85039</v>
      </c>
      <c r="D96" s="76" t="n">
        <v>0</v>
      </c>
      <c r="E96" s="76" t="n">
        <v>85039</v>
      </c>
      <c r="F96" s="75" t="n">
        <f aca="false">IF(D53="","",IF(10&gt;IF(D56="",10,D56),"",D53*(1+IF(D54="",0,D54))^ROUNDDOWN((10-1)/IF(D55="",5,D55),0)))</f>
        <v>78850.08</v>
      </c>
      <c r="G96" s="75" t="n">
        <f aca="false">IF(F96="","",IF((IF(D63="",IF($D$35="",0,$D$35),D63))=0,0,MAX(0,2825198.83-(IF(D64&lt;&gt;"",D64,IF($D$37&lt;&gt;"",$D$37,IF((IF(D63="",IF($D$35="",0,$D$35),D63))=0,0,D53/(IF(D63="",IF($D$35="",0,$D$35),D63)))))))*(IF(D63="",IF($D$35="",0,$D$35),D63))))</f>
        <v>0</v>
      </c>
      <c r="H96" s="75" t="n">
        <f aca="false">IF(F96="","",F96+G96)</f>
        <v>78850.08</v>
      </c>
      <c r="I96" s="75" t="str">
        <f aca="false">IF(E53="","",IF(10&gt;IF(E56="",10,E56),"",E53*(1+IF(E54="",0,E54))^ROUNDDOWN((10-1)/IF(E55="",5,E55),0)))</f>
        <v/>
      </c>
      <c r="J96" s="75" t="str">
        <f aca="false">IF(I96="","",IF((IF(E63="",IF($D$35="",0,$D$35),E63))=0,0,MAX(0,2825198.83-(IF(E64&lt;&gt;"",E64,IF($D$37&lt;&gt;"",$D$37,IF((IF(E63="",IF($D$35="",0,$D$35),E63))=0,0,E53/(IF(E63="",IF($D$35="",0,$D$35),E63)))))))*(IF(E63="",IF($D$35="",0,$D$35),E63))))</f>
        <v/>
      </c>
      <c r="K96" s="75" t="str">
        <f aca="false">IF(I96="","",I96+J96)</f>
        <v/>
      </c>
      <c r="L96" s="75" t="str">
        <f aca="false">IF(F53="","",IF(10&gt;IF(F56="",10,F56),"",F53*(1+IF(F54="",0,F54))^ROUNDDOWN((10-1)/IF(F55="",5,F55),0)))</f>
        <v/>
      </c>
      <c r="M96" s="75" t="str">
        <f aca="false">IF(L96="","",IF((IF(F63="",IF($D$35="",0,$D$35),F63))=0,0,MAX(0,2825198.83-(IF(F64&lt;&gt;"",F64,IF($D$37&lt;&gt;"",$D$37,IF((IF(F63="",IF($D$35="",0,$D$35),F63))=0,0,F53/(IF(F63="",IF($D$35="",0,$D$35),F63)))))))*(IF(F63="",IF($D$35="",0,$D$35),F63))))</f>
        <v/>
      </c>
      <c r="N96" s="75" t="str">
        <f aca="false">IF(L96="","",L96+M96)</f>
        <v/>
      </c>
      <c r="O96" s="75" t="str">
        <f aca="false">IF(G53="","",IF(10&gt;IF(G56="",10,G56),"",G53*(1+IF(G54="",0,G54))^ROUNDDOWN((10-1)/IF(G55="",5,G55),0)))</f>
        <v/>
      </c>
      <c r="P96" s="75" t="str">
        <f aca="false">IF(O96="","",IF((IF(G63="",IF($D$35="",0,$D$35),G63))=0,0,MAX(0,2825198.83-(IF(G64&lt;&gt;"",G64,IF($D$37&lt;&gt;"",$D$37,IF((IF(G63="",IF($D$35="",0,$D$35),G63))=0,0,G53/(IF(G63="",IF($D$35="",0,$D$35),G63)))))))*(IF(G63="",IF($D$35="",0,$D$35),G63))))</f>
        <v/>
      </c>
      <c r="Q96" s="75" t="str">
        <f aca="false">IF(O96="","",O96+P96)</f>
        <v/>
      </c>
      <c r="R96" s="75" t="str">
        <f aca="false">IF(H53="","",IF(10&gt;IF(H56="",10,H56),"",H53*(1+IF(H54="",0,H54))^ROUNDDOWN((10-1)/IF(H55="",5,H55),0)))</f>
        <v/>
      </c>
      <c r="S96" s="75" t="str">
        <f aca="false">IF(R96="","",IF((IF(H63="",IF($D$35="",0,$D$35),H63))=0,0,MAX(0,2825198.83-(IF(H64&lt;&gt;"",H64,IF($D$37&lt;&gt;"",$D$37,IF((IF(H63="",IF($D$35="",0,$D$35),H63))=0,0,H53/(IF(H63="",IF($D$35="",0,$D$35),H63)))))))*(IF(H63="",IF($D$35="",0,$D$35),H63))))</f>
        <v/>
      </c>
      <c r="T96" s="75" t="str">
        <f aca="false">IF(R96="","",R96+S96)</f>
        <v/>
      </c>
    </row>
    <row r="97" customFormat="false" ht="15" hidden="false" customHeight="false" outlineLevel="0" collapsed="false">
      <c r="A97" s="74" t="n">
        <v>11</v>
      </c>
      <c r="B97" s="75" t="n">
        <v>2881703</v>
      </c>
      <c r="C97" s="76" t="n">
        <v>93547</v>
      </c>
      <c r="D97" s="76" t="n">
        <v>0</v>
      </c>
      <c r="E97" s="76" t="n">
        <v>93547</v>
      </c>
      <c r="F97" s="75" t="n">
        <f aca="false">IF(D53="","",IF(11&gt;IF(D56="",10,D56),"",D53*(1+IF(D54="",0,D54))^ROUNDDOWN((11-1)/IF(D55="",5,D55),0)))</f>
        <v>80427.0816</v>
      </c>
      <c r="G97" s="75" t="n">
        <f aca="false">IF(F97="","",IF((IF(D63="",IF($D$35="",0,$D$35),D63))=0,0,MAX(0,2881702.81-(IF(D64&lt;&gt;"",D64,IF($D$37&lt;&gt;"",$D$37,IF((IF(D63="",IF($D$35="",0,$D$35),D63))=0,0,D53/(IF(D63="",IF($D$35="",0,$D$35),D63)))))))*(IF(D63="",IF($D$35="",0,$D$35),D63))))</f>
        <v>0</v>
      </c>
      <c r="H97" s="75" t="n">
        <f aca="false">IF(F97="","",F97+G97)</f>
        <v>80427.0816</v>
      </c>
      <c r="I97" s="75" t="str">
        <f aca="false">IF(E53="","",IF(11&gt;IF(E56="",10,E56),"",E53*(1+IF(E54="",0,E54))^ROUNDDOWN((11-1)/IF(E55="",5,E55),0)))</f>
        <v/>
      </c>
      <c r="J97" s="75" t="str">
        <f aca="false">IF(I97="","",IF((IF(E63="",IF($D$35="",0,$D$35),E63))=0,0,MAX(0,2881702.81-(IF(E64&lt;&gt;"",E64,IF($D$37&lt;&gt;"",$D$37,IF((IF(E63="",IF($D$35="",0,$D$35),E63))=0,0,E53/(IF(E63="",IF($D$35="",0,$D$35),E63)))))))*(IF(E63="",IF($D$35="",0,$D$35),E63))))</f>
        <v/>
      </c>
      <c r="K97" s="75" t="str">
        <f aca="false">IF(I97="","",I97+J97)</f>
        <v/>
      </c>
      <c r="L97" s="75" t="str">
        <f aca="false">IF(F53="","",IF(11&gt;IF(F56="",10,F56),"",F53*(1+IF(F54="",0,F54))^ROUNDDOWN((11-1)/IF(F55="",5,F55),0)))</f>
        <v/>
      </c>
      <c r="M97" s="75" t="str">
        <f aca="false">IF(L97="","",IF((IF(F63="",IF($D$35="",0,$D$35),F63))=0,0,MAX(0,2881702.81-(IF(F64&lt;&gt;"",F64,IF($D$37&lt;&gt;"",$D$37,IF((IF(F63="",IF($D$35="",0,$D$35),F63))=0,0,F53/(IF(F63="",IF($D$35="",0,$D$35),F63)))))))*(IF(F63="",IF($D$35="",0,$D$35),F63))))</f>
        <v/>
      </c>
      <c r="N97" s="75" t="str">
        <f aca="false">IF(L97="","",L97+M97)</f>
        <v/>
      </c>
      <c r="O97" s="75" t="str">
        <f aca="false">IF(G53="","",IF(11&gt;IF(G56="",10,G56),"",G53*(1+IF(G54="",0,G54))^ROUNDDOWN((11-1)/IF(G55="",5,G55),0)))</f>
        <v/>
      </c>
      <c r="P97" s="75" t="str">
        <f aca="false">IF(O97="","",IF((IF(G63="",IF($D$35="",0,$D$35),G63))=0,0,MAX(0,2881702.81-(IF(G64&lt;&gt;"",G64,IF($D$37&lt;&gt;"",$D$37,IF((IF(G63="",IF($D$35="",0,$D$35),G63))=0,0,G53/(IF(G63="",IF($D$35="",0,$D$35),G63)))))))*(IF(G63="",IF($D$35="",0,$D$35),G63))))</f>
        <v/>
      </c>
      <c r="Q97" s="75" t="str">
        <f aca="false">IF(O97="","",O97+P97)</f>
        <v/>
      </c>
      <c r="R97" s="75" t="str">
        <f aca="false">IF(H53="","",IF(11&gt;IF(H56="",10,H56),"",H53*(1+IF(H54="",0,H54))^ROUNDDOWN((11-1)/IF(H55="",5,H55),0)))</f>
        <v/>
      </c>
      <c r="S97" s="75" t="str">
        <f aca="false">IF(R97="","",IF((IF(H63="",IF($D$35="",0,$D$35),H63))=0,0,MAX(0,2881702.81-(IF(H64&lt;&gt;"",H64,IF($D$37&lt;&gt;"",$D$37,IF((IF(H63="",IF($D$35="",0,$D$35),H63))=0,0,H53/(IF(H63="",IF($D$35="",0,$D$35),H63)))))))*(IF(H63="",IF($D$35="",0,$D$35),H63))))</f>
        <v/>
      </c>
      <c r="T97" s="75" t="str">
        <f aca="false">IF(R97="","",R97+S97)</f>
        <v/>
      </c>
    </row>
    <row r="98" customFormat="false" ht="15" hidden="false" customHeight="false" outlineLevel="0" collapsed="false">
      <c r="A98" s="74" t="n">
        <v>12</v>
      </c>
      <c r="B98" s="75" t="n">
        <v>2939337</v>
      </c>
      <c r="C98" s="76" t="n">
        <v>93547</v>
      </c>
      <c r="D98" s="76" t="n">
        <v>0</v>
      </c>
      <c r="E98" s="76" t="n">
        <v>93547</v>
      </c>
      <c r="F98" s="75" t="n">
        <f aca="false">IF(D53="","",IF(12&gt;IF(D56="",10,D56),"",D53*(1+IF(D54="",0,D54))^ROUNDDOWN((12-1)/IF(D55="",5,D55),0)))</f>
        <v>80427.0816</v>
      </c>
      <c r="G98" s="75" t="n">
        <f aca="false">IF(F98="","",IF((IF(D63="",IF($D$35="",0,$D$35),D63))=0,0,MAX(0,2939336.87-(IF(D64&lt;&gt;"",D64,IF($D$37&lt;&gt;"",$D$37,IF((IF(D63="",IF($D$35="",0,$D$35),D63))=0,0,D53/(IF(D63="",IF($D$35="",0,$D$35),D63)))))))*(IF(D63="",IF($D$35="",0,$D$35),D63))))</f>
        <v>0</v>
      </c>
      <c r="H98" s="75" t="n">
        <f aca="false">IF(F98="","",F98+G98)</f>
        <v>80427.0816</v>
      </c>
      <c r="I98" s="75" t="str">
        <f aca="false">IF(E53="","",IF(12&gt;IF(E56="",10,E56),"",E53*(1+IF(E54="",0,E54))^ROUNDDOWN((12-1)/IF(E55="",5,E55),0)))</f>
        <v/>
      </c>
      <c r="J98" s="75" t="str">
        <f aca="false">IF(I98="","",IF((IF(E63="",IF($D$35="",0,$D$35),E63))=0,0,MAX(0,2939336.87-(IF(E64&lt;&gt;"",E64,IF($D$37&lt;&gt;"",$D$37,IF((IF(E63="",IF($D$35="",0,$D$35),E63))=0,0,E53/(IF(E63="",IF($D$35="",0,$D$35),E63)))))))*(IF(E63="",IF($D$35="",0,$D$35),E63))))</f>
        <v/>
      </c>
      <c r="K98" s="75" t="str">
        <f aca="false">IF(I98="","",I98+J98)</f>
        <v/>
      </c>
      <c r="L98" s="75" t="str">
        <f aca="false">IF(F53="","",IF(12&gt;IF(F56="",10,F56),"",F53*(1+IF(F54="",0,F54))^ROUNDDOWN((12-1)/IF(F55="",5,F55),0)))</f>
        <v/>
      </c>
      <c r="M98" s="75" t="str">
        <f aca="false">IF(L98="","",IF((IF(F63="",IF($D$35="",0,$D$35),F63))=0,0,MAX(0,2939336.87-(IF(F64&lt;&gt;"",F64,IF($D$37&lt;&gt;"",$D$37,IF((IF(F63="",IF($D$35="",0,$D$35),F63))=0,0,F53/(IF(F63="",IF($D$35="",0,$D$35),F63)))))))*(IF(F63="",IF($D$35="",0,$D$35),F63))))</f>
        <v/>
      </c>
      <c r="N98" s="75" t="str">
        <f aca="false">IF(L98="","",L98+M98)</f>
        <v/>
      </c>
      <c r="O98" s="75" t="str">
        <f aca="false">IF(G53="","",IF(12&gt;IF(G56="",10,G56),"",G53*(1+IF(G54="",0,G54))^ROUNDDOWN((12-1)/IF(G55="",5,G55),0)))</f>
        <v/>
      </c>
      <c r="P98" s="75" t="str">
        <f aca="false">IF(O98="","",IF((IF(G63="",IF($D$35="",0,$D$35),G63))=0,0,MAX(0,2939336.87-(IF(G64&lt;&gt;"",G64,IF($D$37&lt;&gt;"",$D$37,IF((IF(G63="",IF($D$35="",0,$D$35),G63))=0,0,G53/(IF(G63="",IF($D$35="",0,$D$35),G63)))))))*(IF(G63="",IF($D$35="",0,$D$35),G63))))</f>
        <v/>
      </c>
      <c r="Q98" s="75" t="str">
        <f aca="false">IF(O98="","",O98+P98)</f>
        <v/>
      </c>
      <c r="R98" s="75" t="str">
        <f aca="false">IF(H53="","",IF(12&gt;IF(H56="",10,H56),"",H53*(1+IF(H54="",0,H54))^ROUNDDOWN((12-1)/IF(H55="",5,H55),0)))</f>
        <v/>
      </c>
      <c r="S98" s="75" t="str">
        <f aca="false">IF(R98="","",IF((IF(H63="",IF($D$35="",0,$D$35),H63))=0,0,MAX(0,2939336.87-(IF(H64&lt;&gt;"",H64,IF($D$37&lt;&gt;"",$D$37,IF((IF(H63="",IF($D$35="",0,$D$35),H63))=0,0,H53/(IF(H63="",IF($D$35="",0,$D$35),H63)))))))*(IF(H63="",IF($D$35="",0,$D$35),H63))))</f>
        <v/>
      </c>
      <c r="T98" s="75" t="str">
        <f aca="false">IF(R98="","",R98+S98)</f>
        <v/>
      </c>
    </row>
    <row r="99" customFormat="false" ht="15" hidden="false" customHeight="false" outlineLevel="0" collapsed="false">
      <c r="A99" s="74" t="n">
        <v>13</v>
      </c>
      <c r="B99" s="75" t="n">
        <v>2998124</v>
      </c>
      <c r="C99" s="76" t="n">
        <v>93547</v>
      </c>
      <c r="D99" s="76" t="n">
        <v>0</v>
      </c>
      <c r="E99" s="76" t="n">
        <v>93547</v>
      </c>
      <c r="F99" s="75" t="n">
        <f aca="false">IF(D53="","",IF(13&gt;IF(D56="",10,D56),"",D53*(1+IF(D54="",0,D54))^ROUNDDOWN((13-1)/IF(D55="",5,D55),0)))</f>
        <v>80427.0816</v>
      </c>
      <c r="G99" s="75" t="n">
        <f aca="false">IF(F99="","",IF((IF(D63="",IF($D$35="",0,$D$35),D63))=0,0,MAX(0,2998123.6-(IF(D64&lt;&gt;"",D64,IF($D$37&lt;&gt;"",$D$37,IF((IF(D63="",IF($D$35="",0,$D$35),D63))=0,0,D53/(IF(D63="",IF($D$35="",0,$D$35),D63)))))))*(IF(D63="",IF($D$35="",0,$D$35),D63))))</f>
        <v>0</v>
      </c>
      <c r="H99" s="75" t="n">
        <f aca="false">IF(F99="","",F99+G99)</f>
        <v>80427.0816</v>
      </c>
      <c r="I99" s="75" t="str">
        <f aca="false">IF(E53="","",IF(13&gt;IF(E56="",10,E56),"",E53*(1+IF(E54="",0,E54))^ROUNDDOWN((13-1)/IF(E55="",5,E55),0)))</f>
        <v/>
      </c>
      <c r="J99" s="75" t="str">
        <f aca="false">IF(I99="","",IF((IF(E63="",IF($D$35="",0,$D$35),E63))=0,0,MAX(0,2998123.6-(IF(E64&lt;&gt;"",E64,IF($D$37&lt;&gt;"",$D$37,IF((IF(E63="",IF($D$35="",0,$D$35),E63))=0,0,E53/(IF(E63="",IF($D$35="",0,$D$35),E63)))))))*(IF(E63="",IF($D$35="",0,$D$35),E63))))</f>
        <v/>
      </c>
      <c r="K99" s="75" t="str">
        <f aca="false">IF(I99="","",I99+J99)</f>
        <v/>
      </c>
      <c r="L99" s="75" t="str">
        <f aca="false">IF(F53="","",IF(13&gt;IF(F56="",10,F56),"",F53*(1+IF(F54="",0,F54))^ROUNDDOWN((13-1)/IF(F55="",5,F55),0)))</f>
        <v/>
      </c>
      <c r="M99" s="75" t="str">
        <f aca="false">IF(L99="","",IF((IF(F63="",IF($D$35="",0,$D$35),F63))=0,0,MAX(0,2998123.6-(IF(F64&lt;&gt;"",F64,IF($D$37&lt;&gt;"",$D$37,IF((IF(F63="",IF($D$35="",0,$D$35),F63))=0,0,F53/(IF(F63="",IF($D$35="",0,$D$35),F63)))))))*(IF(F63="",IF($D$35="",0,$D$35),F63))))</f>
        <v/>
      </c>
      <c r="N99" s="75" t="str">
        <f aca="false">IF(L99="","",L99+M99)</f>
        <v/>
      </c>
      <c r="O99" s="75" t="str">
        <f aca="false">IF(G53="","",IF(13&gt;IF(G56="",10,G56),"",G53*(1+IF(G54="",0,G54))^ROUNDDOWN((13-1)/IF(G55="",5,G55),0)))</f>
        <v/>
      </c>
      <c r="P99" s="75" t="str">
        <f aca="false">IF(O99="","",IF((IF(G63="",IF($D$35="",0,$D$35),G63))=0,0,MAX(0,2998123.6-(IF(G64&lt;&gt;"",G64,IF($D$37&lt;&gt;"",$D$37,IF((IF(G63="",IF($D$35="",0,$D$35),G63))=0,0,G53/(IF(G63="",IF($D$35="",0,$D$35),G63)))))))*(IF(G63="",IF($D$35="",0,$D$35),G63))))</f>
        <v/>
      </c>
      <c r="Q99" s="75" t="str">
        <f aca="false">IF(O99="","",O99+P99)</f>
        <v/>
      </c>
      <c r="R99" s="75" t="str">
        <f aca="false">IF(H53="","",IF(13&gt;IF(H56="",10,H56),"",H53*(1+IF(H54="",0,H54))^ROUNDDOWN((13-1)/IF(H55="",5,H55),0)))</f>
        <v/>
      </c>
      <c r="S99" s="75" t="str">
        <f aca="false">IF(R99="","",IF((IF(H63="",IF($D$35="",0,$D$35),H63))=0,0,MAX(0,2998123.6-(IF(H64&lt;&gt;"",H64,IF($D$37&lt;&gt;"",$D$37,IF((IF(H63="",IF($D$35="",0,$D$35),H63))=0,0,H53/(IF(H63="",IF($D$35="",0,$D$35),H63)))))))*(IF(H63="",IF($D$35="",0,$D$35),H63))))</f>
        <v/>
      </c>
      <c r="T99" s="75" t="str">
        <f aca="false">IF(R99="","",R99+S99)</f>
        <v/>
      </c>
    </row>
    <row r="100" customFormat="false" ht="15" hidden="false" customHeight="false" outlineLevel="0" collapsed="false">
      <c r="A100" s="74" t="n">
        <v>14</v>
      </c>
      <c r="B100" s="75" t="n">
        <v>3058086</v>
      </c>
      <c r="C100" s="76" t="n">
        <v>93547</v>
      </c>
      <c r="D100" s="76" t="n">
        <v>0</v>
      </c>
      <c r="E100" s="76" t="n">
        <v>93547</v>
      </c>
      <c r="F100" s="75" t="n">
        <f aca="false">IF(D53="","",IF(14&gt;IF(D56="",10,D56),"",D53*(1+IF(D54="",0,D54))^ROUNDDOWN((14-1)/IF(D55="",5,D55),0)))</f>
        <v>80427.0816</v>
      </c>
      <c r="G100" s="75" t="n">
        <f aca="false">IF(F100="","",IF((IF(D63="",IF($D$35="",0,$D$35),D63))=0,0,MAX(0,3058086.07-(IF(D64&lt;&gt;"",D64,IF($D$37&lt;&gt;"",$D$37,IF((IF(D63="",IF($D$35="",0,$D$35),D63))=0,0,D53/(IF(D63="",IF($D$35="",0,$D$35),D63)))))))*(IF(D63="",IF($D$35="",0,$D$35),D63))))</f>
        <v>0</v>
      </c>
      <c r="H100" s="75" t="n">
        <f aca="false">IF(F100="","",F100+G100)</f>
        <v>80427.0816</v>
      </c>
      <c r="I100" s="75" t="str">
        <f aca="false">IF(E53="","",IF(14&gt;IF(E56="",10,E56),"",E53*(1+IF(E54="",0,E54))^ROUNDDOWN((14-1)/IF(E55="",5,E55),0)))</f>
        <v/>
      </c>
      <c r="J100" s="75" t="str">
        <f aca="false">IF(I100="","",IF((IF(E63="",IF($D$35="",0,$D$35),E63))=0,0,MAX(0,3058086.07-(IF(E64&lt;&gt;"",E64,IF($D$37&lt;&gt;"",$D$37,IF((IF(E63="",IF($D$35="",0,$D$35),E63))=0,0,E53/(IF(E63="",IF($D$35="",0,$D$35),E63)))))))*(IF(E63="",IF($D$35="",0,$D$35),E63))))</f>
        <v/>
      </c>
      <c r="K100" s="75" t="str">
        <f aca="false">IF(I100="","",I100+J100)</f>
        <v/>
      </c>
      <c r="L100" s="75" t="str">
        <f aca="false">IF(F53="","",IF(14&gt;IF(F56="",10,F56),"",F53*(1+IF(F54="",0,F54))^ROUNDDOWN((14-1)/IF(F55="",5,F55),0)))</f>
        <v/>
      </c>
      <c r="M100" s="75" t="str">
        <f aca="false">IF(L100="","",IF((IF(F63="",IF($D$35="",0,$D$35),F63))=0,0,MAX(0,3058086.07-(IF(F64&lt;&gt;"",F64,IF($D$37&lt;&gt;"",$D$37,IF((IF(F63="",IF($D$35="",0,$D$35),F63))=0,0,F53/(IF(F63="",IF($D$35="",0,$D$35),F63)))))))*(IF(F63="",IF($D$35="",0,$D$35),F63))))</f>
        <v/>
      </c>
      <c r="N100" s="75" t="str">
        <f aca="false">IF(L100="","",L100+M100)</f>
        <v/>
      </c>
      <c r="O100" s="75" t="str">
        <f aca="false">IF(G53="","",IF(14&gt;IF(G56="",10,G56),"",G53*(1+IF(G54="",0,G54))^ROUNDDOWN((14-1)/IF(G55="",5,G55),0)))</f>
        <v/>
      </c>
      <c r="P100" s="75" t="str">
        <f aca="false">IF(O100="","",IF((IF(G63="",IF($D$35="",0,$D$35),G63))=0,0,MAX(0,3058086.07-(IF(G64&lt;&gt;"",G64,IF($D$37&lt;&gt;"",$D$37,IF((IF(G63="",IF($D$35="",0,$D$35),G63))=0,0,G53/(IF(G63="",IF($D$35="",0,$D$35),G63)))))))*(IF(G63="",IF($D$35="",0,$D$35),G63))))</f>
        <v/>
      </c>
      <c r="Q100" s="75" t="str">
        <f aca="false">IF(O100="","",O100+P100)</f>
        <v/>
      </c>
      <c r="R100" s="75" t="str">
        <f aca="false">IF(H53="","",IF(14&gt;IF(H56="",10,H56),"",H53*(1+IF(H54="",0,H54))^ROUNDDOWN((14-1)/IF(H55="",5,H55),0)))</f>
        <v/>
      </c>
      <c r="S100" s="75" t="str">
        <f aca="false">IF(R100="","",IF((IF(H63="",IF($D$35="",0,$D$35),H63))=0,0,MAX(0,3058086.07-(IF(H64&lt;&gt;"",H64,IF($D$37&lt;&gt;"",$D$37,IF((IF(H63="",IF($D$35="",0,$D$35),H63))=0,0,H53/(IF(H63="",IF($D$35="",0,$D$35),H63)))))))*(IF(H63="",IF($D$35="",0,$D$35),H63))))</f>
        <v/>
      </c>
      <c r="T100" s="75" t="str">
        <f aca="false">IF(R100="","",R100+S100)</f>
        <v/>
      </c>
    </row>
    <row r="101" customFormat="false" ht="15" hidden="false" customHeight="false" outlineLevel="0" collapsed="false">
      <c r="A101" s="74" t="n">
        <v>15</v>
      </c>
      <c r="B101" s="75" t="n">
        <v>3119248</v>
      </c>
      <c r="C101" s="76" t="n">
        <v>93547</v>
      </c>
      <c r="D101" s="76" t="n">
        <v>0</v>
      </c>
      <c r="E101" s="76" t="n">
        <v>93547</v>
      </c>
      <c r="F101" s="75" t="n">
        <f aca="false">IF(D53="","",IF(15&gt;IF(D56="",10,D56),"",D53*(1+IF(D54="",0,D54))^ROUNDDOWN((15-1)/IF(D55="",5,D55),0)))</f>
        <v>80427.0816</v>
      </c>
      <c r="G101" s="75" t="n">
        <f aca="false">IF(F101="","",IF((IF(D63="",IF($D$35="",0,$D$35),D63))=0,0,MAX(0,3119247.8-(IF(D64&lt;&gt;"",D64,IF($D$37&lt;&gt;"",$D$37,IF((IF(D63="",IF($D$35="",0,$D$35),D63))=0,0,D53/(IF(D63="",IF($D$35="",0,$D$35),D63)))))))*(IF(D63="",IF($D$35="",0,$D$35),D63))))</f>
        <v>0</v>
      </c>
      <c r="H101" s="75" t="n">
        <f aca="false">IF(F101="","",F101+G101)</f>
        <v>80427.0816</v>
      </c>
      <c r="I101" s="75" t="str">
        <f aca="false">IF(E53="","",IF(15&gt;IF(E56="",10,E56),"",E53*(1+IF(E54="",0,E54))^ROUNDDOWN((15-1)/IF(E55="",5,E55),0)))</f>
        <v/>
      </c>
      <c r="J101" s="75" t="str">
        <f aca="false">IF(I101="","",IF((IF(E63="",IF($D$35="",0,$D$35),E63))=0,0,MAX(0,3119247.8-(IF(E64&lt;&gt;"",E64,IF($D$37&lt;&gt;"",$D$37,IF((IF(E63="",IF($D$35="",0,$D$35),E63))=0,0,E53/(IF(E63="",IF($D$35="",0,$D$35),E63)))))))*(IF(E63="",IF($D$35="",0,$D$35),E63))))</f>
        <v/>
      </c>
      <c r="K101" s="75" t="str">
        <f aca="false">IF(I101="","",I101+J101)</f>
        <v/>
      </c>
      <c r="L101" s="75" t="str">
        <f aca="false">IF(F53="","",IF(15&gt;IF(F56="",10,F56),"",F53*(1+IF(F54="",0,F54))^ROUNDDOWN((15-1)/IF(F55="",5,F55),0)))</f>
        <v/>
      </c>
      <c r="M101" s="75" t="str">
        <f aca="false">IF(L101="","",IF((IF(F63="",IF($D$35="",0,$D$35),F63))=0,0,MAX(0,3119247.8-(IF(F64&lt;&gt;"",F64,IF($D$37&lt;&gt;"",$D$37,IF((IF(F63="",IF($D$35="",0,$D$35),F63))=0,0,F53/(IF(F63="",IF($D$35="",0,$D$35),F63)))))))*(IF(F63="",IF($D$35="",0,$D$35),F63))))</f>
        <v/>
      </c>
      <c r="N101" s="75" t="str">
        <f aca="false">IF(L101="","",L101+M101)</f>
        <v/>
      </c>
      <c r="O101" s="75" t="str">
        <f aca="false">IF(G53="","",IF(15&gt;IF(G56="",10,G56),"",G53*(1+IF(G54="",0,G54))^ROUNDDOWN((15-1)/IF(G55="",5,G55),0)))</f>
        <v/>
      </c>
      <c r="P101" s="75" t="str">
        <f aca="false">IF(O101="","",IF((IF(G63="",IF($D$35="",0,$D$35),G63))=0,0,MAX(0,3119247.8-(IF(G64&lt;&gt;"",G64,IF($D$37&lt;&gt;"",$D$37,IF((IF(G63="",IF($D$35="",0,$D$35),G63))=0,0,G53/(IF(G63="",IF($D$35="",0,$D$35),G63)))))))*(IF(G63="",IF($D$35="",0,$D$35),G63))))</f>
        <v/>
      </c>
      <c r="Q101" s="75" t="str">
        <f aca="false">IF(O101="","",O101+P101)</f>
        <v/>
      </c>
      <c r="R101" s="75" t="str">
        <f aca="false">IF(H53="","",IF(15&gt;IF(H56="",10,H56),"",H53*(1+IF(H54="",0,H54))^ROUNDDOWN((15-1)/IF(H55="",5,H55),0)))</f>
        <v/>
      </c>
      <c r="S101" s="75" t="str">
        <f aca="false">IF(R101="","",IF((IF(H63="",IF($D$35="",0,$D$35),H63))=0,0,MAX(0,3119247.8-(IF(H64&lt;&gt;"",H64,IF($D$37&lt;&gt;"",$D$37,IF((IF(H63="",IF($D$35="",0,$D$35),H63))=0,0,H53/(IF(H63="",IF($D$35="",0,$D$35),H63)))))))*(IF(H63="",IF($D$35="",0,$D$35),H63))))</f>
        <v/>
      </c>
      <c r="T101" s="75" t="str">
        <f aca="false">IF(R101="","",R101+S101)</f>
        <v/>
      </c>
    </row>
    <row r="102" customFormat="false" ht="15" hidden="false" customHeight="false" outlineLevel="0" collapsed="false">
      <c r="A102" s="74" t="n">
        <v>16</v>
      </c>
      <c r="B102" s="75" t="n">
        <v>3181633</v>
      </c>
      <c r="C102" s="76" t="n">
        <v>102907</v>
      </c>
      <c r="D102" s="76" t="n">
        <v>0</v>
      </c>
      <c r="E102" s="76" t="n">
        <v>102907</v>
      </c>
      <c r="F102" s="75" t="n">
        <f aca="false">IF(D53="","",IF(16&gt;IF(D56="",10,D56),"",D53*(1+IF(D54="",0,D54))^ROUNDDOWN((16-1)/IF(D55="",5,D55),0)))</f>
        <v>82035.623232</v>
      </c>
      <c r="G102" s="75" t="n">
        <f aca="false">IF(F102="","",IF((IF(D63="",IF($D$35="",0,$D$35),D63))=0,0,MAX(0,3181632.75-(IF(D64&lt;&gt;"",D64,IF($D$37&lt;&gt;"",$D$37,IF((IF(D63="",IF($D$35="",0,$D$35),D63))=0,0,D53/(IF(D63="",IF($D$35="",0,$D$35),D63)))))))*(IF(D63="",IF($D$35="",0,$D$35),D63))))</f>
        <v>0</v>
      </c>
      <c r="H102" s="75" t="n">
        <f aca="false">IF(F102="","",F102+G102)</f>
        <v>82035.623232</v>
      </c>
      <c r="I102" s="75" t="str">
        <f aca="false">IF(E53="","",IF(16&gt;IF(E56="",10,E56),"",E53*(1+IF(E54="",0,E54))^ROUNDDOWN((16-1)/IF(E55="",5,E55),0)))</f>
        <v/>
      </c>
      <c r="J102" s="75" t="str">
        <f aca="false">IF(I102="","",IF((IF(E63="",IF($D$35="",0,$D$35),E63))=0,0,MAX(0,3181632.75-(IF(E64&lt;&gt;"",E64,IF($D$37&lt;&gt;"",$D$37,IF((IF(E63="",IF($D$35="",0,$D$35),E63))=0,0,E53/(IF(E63="",IF($D$35="",0,$D$35),E63)))))))*(IF(E63="",IF($D$35="",0,$D$35),E63))))</f>
        <v/>
      </c>
      <c r="K102" s="75" t="str">
        <f aca="false">IF(I102="","",I102+J102)</f>
        <v/>
      </c>
      <c r="L102" s="75" t="str">
        <f aca="false">IF(F53="","",IF(16&gt;IF(F56="",10,F56),"",F53*(1+IF(F54="",0,F54))^ROUNDDOWN((16-1)/IF(F55="",5,F55),0)))</f>
        <v/>
      </c>
      <c r="M102" s="75" t="str">
        <f aca="false">IF(L102="","",IF((IF(F63="",IF($D$35="",0,$D$35),F63))=0,0,MAX(0,3181632.75-(IF(F64&lt;&gt;"",F64,IF($D$37&lt;&gt;"",$D$37,IF((IF(F63="",IF($D$35="",0,$D$35),F63))=0,0,F53/(IF(F63="",IF($D$35="",0,$D$35),F63)))))))*(IF(F63="",IF($D$35="",0,$D$35),F63))))</f>
        <v/>
      </c>
      <c r="N102" s="75" t="str">
        <f aca="false">IF(L102="","",L102+M102)</f>
        <v/>
      </c>
      <c r="O102" s="75" t="str">
        <f aca="false">IF(G53="","",IF(16&gt;IF(G56="",10,G56),"",G53*(1+IF(G54="",0,G54))^ROUNDDOWN((16-1)/IF(G55="",5,G55),0)))</f>
        <v/>
      </c>
      <c r="P102" s="75" t="str">
        <f aca="false">IF(O102="","",IF((IF(G63="",IF($D$35="",0,$D$35),G63))=0,0,MAX(0,3181632.75-(IF(G64&lt;&gt;"",G64,IF($D$37&lt;&gt;"",$D$37,IF((IF(G63="",IF($D$35="",0,$D$35),G63))=0,0,G53/(IF(G63="",IF($D$35="",0,$D$35),G63)))))))*(IF(G63="",IF($D$35="",0,$D$35),G63))))</f>
        <v/>
      </c>
      <c r="Q102" s="75" t="str">
        <f aca="false">IF(O102="","",O102+P102)</f>
        <v/>
      </c>
      <c r="R102" s="75" t="str">
        <f aca="false">IF(H53="","",IF(16&gt;IF(H56="",10,H56),"",H53*(1+IF(H54="",0,H54))^ROUNDDOWN((16-1)/IF(H55="",5,H55),0)))</f>
        <v/>
      </c>
      <c r="S102" s="75" t="str">
        <f aca="false">IF(R102="","",IF((IF(H63="",IF($D$35="",0,$D$35),H63))=0,0,MAX(0,3181632.75-(IF(H64&lt;&gt;"",H64,IF($D$37&lt;&gt;"",$D$37,IF((IF(H63="",IF($D$35="",0,$D$35),H63))=0,0,H53/(IF(H63="",IF($D$35="",0,$D$35),H63)))))))*(IF(H63="",IF($D$35="",0,$D$35),H63))))</f>
        <v/>
      </c>
      <c r="T102" s="75" t="str">
        <f aca="false">IF(R102="","",R102+S102)</f>
        <v/>
      </c>
    </row>
    <row r="103" customFormat="false" ht="15" hidden="false" customHeight="false" outlineLevel="0" collapsed="false">
      <c r="A103" s="74" t="n">
        <v>17</v>
      </c>
      <c r="B103" s="75" t="n">
        <v>3245265</v>
      </c>
      <c r="C103" s="76" t="n">
        <v>102907</v>
      </c>
      <c r="D103" s="76" t="n">
        <v>0</v>
      </c>
      <c r="E103" s="76" t="n">
        <v>102907</v>
      </c>
      <c r="F103" s="75" t="n">
        <f aca="false">IF(D53="","",IF(17&gt;IF(D56="",10,D56),"",D53*(1+IF(D54="",0,D54))^ROUNDDOWN((17-1)/IF(D55="",5,D55),0)))</f>
        <v>82035.623232</v>
      </c>
      <c r="G103" s="75" t="n">
        <f aca="false">IF(F103="","",IF((IF(D63="",IF($D$35="",0,$D$35),D63))=0,0,MAX(0,3245265.41-(IF(D64&lt;&gt;"",D64,IF($D$37&lt;&gt;"",$D$37,IF((IF(D63="",IF($D$35="",0,$D$35),D63))=0,0,D53/(IF(D63="",IF($D$35="",0,$D$35),D63)))))))*(IF(D63="",IF($D$35="",0,$D$35),D63))))</f>
        <v>0</v>
      </c>
      <c r="H103" s="75" t="n">
        <f aca="false">IF(F103="","",F103+G103)</f>
        <v>82035.623232</v>
      </c>
      <c r="I103" s="75" t="str">
        <f aca="false">IF(E53="","",IF(17&gt;IF(E56="",10,E56),"",E53*(1+IF(E54="",0,E54))^ROUNDDOWN((17-1)/IF(E55="",5,E55),0)))</f>
        <v/>
      </c>
      <c r="J103" s="75" t="str">
        <f aca="false">IF(I103="","",IF((IF(E63="",IF($D$35="",0,$D$35),E63))=0,0,MAX(0,3245265.41-(IF(E64&lt;&gt;"",E64,IF($D$37&lt;&gt;"",$D$37,IF((IF(E63="",IF($D$35="",0,$D$35),E63))=0,0,E53/(IF(E63="",IF($D$35="",0,$D$35),E63)))))))*(IF(E63="",IF($D$35="",0,$D$35),E63))))</f>
        <v/>
      </c>
      <c r="K103" s="75" t="str">
        <f aca="false">IF(I103="","",I103+J103)</f>
        <v/>
      </c>
      <c r="L103" s="75" t="str">
        <f aca="false">IF(F53="","",IF(17&gt;IF(F56="",10,F56),"",F53*(1+IF(F54="",0,F54))^ROUNDDOWN((17-1)/IF(F55="",5,F55),0)))</f>
        <v/>
      </c>
      <c r="M103" s="75" t="str">
        <f aca="false">IF(L103="","",IF((IF(F63="",IF($D$35="",0,$D$35),F63))=0,0,MAX(0,3245265.41-(IF(F64&lt;&gt;"",F64,IF($D$37&lt;&gt;"",$D$37,IF((IF(F63="",IF($D$35="",0,$D$35),F63))=0,0,F53/(IF(F63="",IF($D$35="",0,$D$35),F63)))))))*(IF(F63="",IF($D$35="",0,$D$35),F63))))</f>
        <v/>
      </c>
      <c r="N103" s="75" t="str">
        <f aca="false">IF(L103="","",L103+M103)</f>
        <v/>
      </c>
      <c r="O103" s="75" t="str">
        <f aca="false">IF(G53="","",IF(17&gt;IF(G56="",10,G56),"",G53*(1+IF(G54="",0,G54))^ROUNDDOWN((17-1)/IF(G55="",5,G55),0)))</f>
        <v/>
      </c>
      <c r="P103" s="75" t="str">
        <f aca="false">IF(O103="","",IF((IF(G63="",IF($D$35="",0,$D$35),G63))=0,0,MAX(0,3245265.41-(IF(G64&lt;&gt;"",G64,IF($D$37&lt;&gt;"",$D$37,IF((IF(G63="",IF($D$35="",0,$D$35),G63))=0,0,G53/(IF(G63="",IF($D$35="",0,$D$35),G63)))))))*(IF(G63="",IF($D$35="",0,$D$35),G63))))</f>
        <v/>
      </c>
      <c r="Q103" s="75" t="str">
        <f aca="false">IF(O103="","",O103+P103)</f>
        <v/>
      </c>
      <c r="R103" s="75" t="str">
        <f aca="false">IF(H53="","",IF(17&gt;IF(H56="",10,H56),"",H53*(1+IF(H54="",0,H54))^ROUNDDOWN((17-1)/IF(H55="",5,H55),0)))</f>
        <v/>
      </c>
      <c r="S103" s="75" t="str">
        <f aca="false">IF(R103="","",IF((IF(H63="",IF($D$35="",0,$D$35),H63))=0,0,MAX(0,3245265.41-(IF(H64&lt;&gt;"",H64,IF($D$37&lt;&gt;"",$D$37,IF((IF(H63="",IF($D$35="",0,$D$35),H63))=0,0,H53/(IF(H63="",IF($D$35="",0,$D$35),H63)))))))*(IF(H63="",IF($D$35="",0,$D$35),H63))))</f>
        <v/>
      </c>
      <c r="T103" s="75" t="str">
        <f aca="false">IF(R103="","",R103+S103)</f>
        <v/>
      </c>
    </row>
    <row r="104" customFormat="false" ht="15" hidden="false" customHeight="false" outlineLevel="0" collapsed="false">
      <c r="A104" s="74" t="n">
        <v>18</v>
      </c>
      <c r="B104" s="75" t="n">
        <v>3310171</v>
      </c>
      <c r="C104" s="76" t="n">
        <v>102907</v>
      </c>
      <c r="D104" s="76" t="n">
        <v>0</v>
      </c>
      <c r="E104" s="76" t="n">
        <v>102907</v>
      </c>
      <c r="F104" s="75" t="n">
        <f aca="false">IF(D53="","",IF(18&gt;IF(D56="",10,D56),"",D53*(1+IF(D54="",0,D54))^ROUNDDOWN((18-1)/IF(D55="",5,D55),0)))</f>
        <v>82035.623232</v>
      </c>
      <c r="G104" s="75" t="n">
        <f aca="false">IF(F104="","",IF((IF(D63="",IF($D$35="",0,$D$35),D63))=0,0,MAX(0,3310170.71-(IF(D64&lt;&gt;"",D64,IF($D$37&lt;&gt;"",$D$37,IF((IF(D63="",IF($D$35="",0,$D$35),D63))=0,0,D53/(IF(D63="",IF($D$35="",0,$D$35),D63)))))))*(IF(D63="",IF($D$35="",0,$D$35),D63))))</f>
        <v>0</v>
      </c>
      <c r="H104" s="75" t="n">
        <f aca="false">IF(F104="","",F104+G104)</f>
        <v>82035.623232</v>
      </c>
      <c r="I104" s="75" t="str">
        <f aca="false">IF(E53="","",IF(18&gt;IF(E56="",10,E56),"",E53*(1+IF(E54="",0,E54))^ROUNDDOWN((18-1)/IF(E55="",5,E55),0)))</f>
        <v/>
      </c>
      <c r="J104" s="75" t="str">
        <f aca="false">IF(I104="","",IF((IF(E63="",IF($D$35="",0,$D$35),E63))=0,0,MAX(0,3310170.71-(IF(E64&lt;&gt;"",E64,IF($D$37&lt;&gt;"",$D$37,IF((IF(E63="",IF($D$35="",0,$D$35),E63))=0,0,E53/(IF(E63="",IF($D$35="",0,$D$35),E63)))))))*(IF(E63="",IF($D$35="",0,$D$35),E63))))</f>
        <v/>
      </c>
      <c r="K104" s="75" t="str">
        <f aca="false">IF(I104="","",I104+J104)</f>
        <v/>
      </c>
      <c r="L104" s="75" t="str">
        <f aca="false">IF(F53="","",IF(18&gt;IF(F56="",10,F56),"",F53*(1+IF(F54="",0,F54))^ROUNDDOWN((18-1)/IF(F55="",5,F55),0)))</f>
        <v/>
      </c>
      <c r="M104" s="75" t="str">
        <f aca="false">IF(L104="","",IF((IF(F63="",IF($D$35="",0,$D$35),F63))=0,0,MAX(0,3310170.71-(IF(F64&lt;&gt;"",F64,IF($D$37&lt;&gt;"",$D$37,IF((IF(F63="",IF($D$35="",0,$D$35),F63))=0,0,F53/(IF(F63="",IF($D$35="",0,$D$35),F63)))))))*(IF(F63="",IF($D$35="",0,$D$35),F63))))</f>
        <v/>
      </c>
      <c r="N104" s="75" t="str">
        <f aca="false">IF(L104="","",L104+M104)</f>
        <v/>
      </c>
      <c r="O104" s="75" t="str">
        <f aca="false">IF(G53="","",IF(18&gt;IF(G56="",10,G56),"",G53*(1+IF(G54="",0,G54))^ROUNDDOWN((18-1)/IF(G55="",5,G55),0)))</f>
        <v/>
      </c>
      <c r="P104" s="75" t="str">
        <f aca="false">IF(O104="","",IF((IF(G63="",IF($D$35="",0,$D$35),G63))=0,0,MAX(0,3310170.71-(IF(G64&lt;&gt;"",G64,IF($D$37&lt;&gt;"",$D$37,IF((IF(G63="",IF($D$35="",0,$D$35),G63))=0,0,G53/(IF(G63="",IF($D$35="",0,$D$35),G63)))))))*(IF(G63="",IF($D$35="",0,$D$35),G63))))</f>
        <v/>
      </c>
      <c r="Q104" s="75" t="str">
        <f aca="false">IF(O104="","",O104+P104)</f>
        <v/>
      </c>
      <c r="R104" s="75" t="str">
        <f aca="false">IF(H53="","",IF(18&gt;IF(H56="",10,H56),"",H53*(1+IF(H54="",0,H54))^ROUNDDOWN((18-1)/IF(H55="",5,H55),0)))</f>
        <v/>
      </c>
      <c r="S104" s="75" t="str">
        <f aca="false">IF(R104="","",IF((IF(H63="",IF($D$35="",0,$D$35),H63))=0,0,MAX(0,3310170.71-(IF(H64&lt;&gt;"",H64,IF($D$37&lt;&gt;"",$D$37,IF((IF(H63="",IF($D$35="",0,$D$35),H63))=0,0,H53/(IF(H63="",IF($D$35="",0,$D$35),H63)))))))*(IF(H63="",IF($D$35="",0,$D$35),H63))))</f>
        <v/>
      </c>
      <c r="T104" s="75" t="str">
        <f aca="false">IF(R104="","",R104+S104)</f>
        <v/>
      </c>
    </row>
    <row r="105" customFormat="false" ht="15" hidden="false" customHeight="false" outlineLevel="0" collapsed="false">
      <c r="A105" s="74" t="n">
        <v>19</v>
      </c>
      <c r="B105" s="75" t="n">
        <v>3376374</v>
      </c>
      <c r="C105" s="76" t="n">
        <v>102907</v>
      </c>
      <c r="D105" s="76" t="n">
        <v>0</v>
      </c>
      <c r="E105" s="76" t="n">
        <v>102907</v>
      </c>
      <c r="F105" s="75" t="n">
        <f aca="false">IF(D53="","",IF(19&gt;IF(D56="",10,D56),"",D53*(1+IF(D54="",0,D54))^ROUNDDOWN((19-1)/IF(D55="",5,D55),0)))</f>
        <v>82035.623232</v>
      </c>
      <c r="G105" s="75" t="n">
        <f aca="false">IF(F105="","",IF((IF(D63="",IF($D$35="",0,$D$35),D63))=0,0,MAX(0,3376374.13-(IF(D64&lt;&gt;"",D64,IF($D$37&lt;&gt;"",$D$37,IF((IF(D63="",IF($D$35="",0,$D$35),D63))=0,0,D53/(IF(D63="",IF($D$35="",0,$D$35),D63)))))))*(IF(D63="",IF($D$35="",0,$D$35),D63))))</f>
        <v>0</v>
      </c>
      <c r="H105" s="75" t="n">
        <f aca="false">IF(F105="","",F105+G105)</f>
        <v>82035.623232</v>
      </c>
      <c r="I105" s="75" t="str">
        <f aca="false">IF(E53="","",IF(19&gt;IF(E56="",10,E56),"",E53*(1+IF(E54="",0,E54))^ROUNDDOWN((19-1)/IF(E55="",5,E55),0)))</f>
        <v/>
      </c>
      <c r="J105" s="75" t="str">
        <f aca="false">IF(I105="","",IF((IF(E63="",IF($D$35="",0,$D$35),E63))=0,0,MAX(0,3376374.13-(IF(E64&lt;&gt;"",E64,IF($D$37&lt;&gt;"",$D$37,IF((IF(E63="",IF($D$35="",0,$D$35),E63))=0,0,E53/(IF(E63="",IF($D$35="",0,$D$35),E63)))))))*(IF(E63="",IF($D$35="",0,$D$35),E63))))</f>
        <v/>
      </c>
      <c r="K105" s="75" t="str">
        <f aca="false">IF(I105="","",I105+J105)</f>
        <v/>
      </c>
      <c r="L105" s="75" t="str">
        <f aca="false">IF(F53="","",IF(19&gt;IF(F56="",10,F56),"",F53*(1+IF(F54="",0,F54))^ROUNDDOWN((19-1)/IF(F55="",5,F55),0)))</f>
        <v/>
      </c>
      <c r="M105" s="75" t="str">
        <f aca="false">IF(L105="","",IF((IF(F63="",IF($D$35="",0,$D$35),F63))=0,0,MAX(0,3376374.13-(IF(F64&lt;&gt;"",F64,IF($D$37&lt;&gt;"",$D$37,IF((IF(F63="",IF($D$35="",0,$D$35),F63))=0,0,F53/(IF(F63="",IF($D$35="",0,$D$35),F63)))))))*(IF(F63="",IF($D$35="",0,$D$35),F63))))</f>
        <v/>
      </c>
      <c r="N105" s="75" t="str">
        <f aca="false">IF(L105="","",L105+M105)</f>
        <v/>
      </c>
      <c r="O105" s="75" t="str">
        <f aca="false">IF(G53="","",IF(19&gt;IF(G56="",10,G56),"",G53*(1+IF(G54="",0,G54))^ROUNDDOWN((19-1)/IF(G55="",5,G55),0)))</f>
        <v/>
      </c>
      <c r="P105" s="75" t="str">
        <f aca="false">IF(O105="","",IF((IF(G63="",IF($D$35="",0,$D$35),G63))=0,0,MAX(0,3376374.13-(IF(G64&lt;&gt;"",G64,IF($D$37&lt;&gt;"",$D$37,IF((IF(G63="",IF($D$35="",0,$D$35),G63))=0,0,G53/(IF(G63="",IF($D$35="",0,$D$35),G63)))))))*(IF(G63="",IF($D$35="",0,$D$35),G63))))</f>
        <v/>
      </c>
      <c r="Q105" s="75" t="str">
        <f aca="false">IF(O105="","",O105+P105)</f>
        <v/>
      </c>
      <c r="R105" s="75" t="str">
        <f aca="false">IF(H53="","",IF(19&gt;IF(H56="",10,H56),"",H53*(1+IF(H54="",0,H54))^ROUNDDOWN((19-1)/IF(H55="",5,H55),0)))</f>
        <v/>
      </c>
      <c r="S105" s="75" t="str">
        <f aca="false">IF(R105="","",IF((IF(H63="",IF($D$35="",0,$D$35),H63))=0,0,MAX(0,3376374.13-(IF(H64&lt;&gt;"",H64,IF($D$37&lt;&gt;"",$D$37,IF((IF(H63="",IF($D$35="",0,$D$35),H63))=0,0,H53/(IF(H63="",IF($D$35="",0,$D$35),H63)))))))*(IF(H63="",IF($D$35="",0,$D$35),H63))))</f>
        <v/>
      </c>
      <c r="T105" s="75" t="str">
        <f aca="false">IF(R105="","",R105+S105)</f>
        <v/>
      </c>
    </row>
    <row r="106" customFormat="false" ht="15" hidden="false" customHeight="false" outlineLevel="0" collapsed="false">
      <c r="A106" s="74" t="n">
        <v>20</v>
      </c>
      <c r="B106" s="75" t="n">
        <v>3443902</v>
      </c>
      <c r="C106" s="76" t="n">
        <v>102907</v>
      </c>
      <c r="D106" s="76" t="n">
        <v>0</v>
      </c>
      <c r="E106" s="76" t="n">
        <v>102907</v>
      </c>
      <c r="F106" s="75" t="n">
        <f aca="false">IF(D53="","",IF(20&gt;IF(D56="",10,D56),"",D53*(1+IF(D54="",0,D54))^ROUNDDOWN((20-1)/IF(D55="",5,D55),0)))</f>
        <v>82035.623232</v>
      </c>
      <c r="G106" s="75" t="n">
        <f aca="false">IF(F106="","",IF((IF(D63="",IF($D$35="",0,$D$35),D63))=0,0,MAX(0,3443901.61-(IF(D64&lt;&gt;"",D64,IF($D$37&lt;&gt;"",$D$37,IF((IF(D63="",IF($D$35="",0,$D$35),D63))=0,0,D53/(IF(D63="",IF($D$35="",0,$D$35),D63)))))))*(IF(D63="",IF($D$35="",0,$D$35),D63))))</f>
        <v>0</v>
      </c>
      <c r="H106" s="75" t="n">
        <f aca="false">IF(F106="","",F106+G106)</f>
        <v>82035.623232</v>
      </c>
      <c r="I106" s="75" t="str">
        <f aca="false">IF(E53="","",IF(20&gt;IF(E56="",10,E56),"",E53*(1+IF(E54="",0,E54))^ROUNDDOWN((20-1)/IF(E55="",5,E55),0)))</f>
        <v/>
      </c>
      <c r="J106" s="75" t="str">
        <f aca="false">IF(I106="","",IF((IF(E63="",IF($D$35="",0,$D$35),E63))=0,0,MAX(0,3443901.61-(IF(E64&lt;&gt;"",E64,IF($D$37&lt;&gt;"",$D$37,IF((IF(E63="",IF($D$35="",0,$D$35),E63))=0,0,E53/(IF(E63="",IF($D$35="",0,$D$35),E63)))))))*(IF(E63="",IF($D$35="",0,$D$35),E63))))</f>
        <v/>
      </c>
      <c r="K106" s="75" t="str">
        <f aca="false">IF(I106="","",I106+J106)</f>
        <v/>
      </c>
      <c r="L106" s="75" t="str">
        <f aca="false">IF(F53="","",IF(20&gt;IF(F56="",10,F56),"",F53*(1+IF(F54="",0,F54))^ROUNDDOWN((20-1)/IF(F55="",5,F55),0)))</f>
        <v/>
      </c>
      <c r="M106" s="75" t="str">
        <f aca="false">IF(L106="","",IF((IF(F63="",IF($D$35="",0,$D$35),F63))=0,0,MAX(0,3443901.61-(IF(F64&lt;&gt;"",F64,IF($D$37&lt;&gt;"",$D$37,IF((IF(F63="",IF($D$35="",0,$D$35),F63))=0,0,F53/(IF(F63="",IF($D$35="",0,$D$35),F63)))))))*(IF(F63="",IF($D$35="",0,$D$35),F63))))</f>
        <v/>
      </c>
      <c r="N106" s="75" t="str">
        <f aca="false">IF(L106="","",L106+M106)</f>
        <v/>
      </c>
      <c r="O106" s="75" t="str">
        <f aca="false">IF(G53="","",IF(20&gt;IF(G56="",10,G56),"",G53*(1+IF(G54="",0,G54))^ROUNDDOWN((20-1)/IF(G55="",5,G55),0)))</f>
        <v/>
      </c>
      <c r="P106" s="75" t="str">
        <f aca="false">IF(O106="","",IF((IF(G63="",IF($D$35="",0,$D$35),G63))=0,0,MAX(0,3443901.61-(IF(G64&lt;&gt;"",G64,IF($D$37&lt;&gt;"",$D$37,IF((IF(G63="",IF($D$35="",0,$D$35),G63))=0,0,G53/(IF(G63="",IF($D$35="",0,$D$35),G63)))))))*(IF(G63="",IF($D$35="",0,$D$35),G63))))</f>
        <v/>
      </c>
      <c r="Q106" s="75" t="str">
        <f aca="false">IF(O106="","",O106+P106)</f>
        <v/>
      </c>
      <c r="R106" s="75" t="str">
        <f aca="false">IF(H53="","",IF(20&gt;IF(H56="",10,H56),"",H53*(1+IF(H54="",0,H54))^ROUNDDOWN((20-1)/IF(H55="",5,H55),0)))</f>
        <v/>
      </c>
      <c r="S106" s="75" t="str">
        <f aca="false">IF(R106="","",IF((IF(H63="",IF($D$35="",0,$D$35),H63))=0,0,MAX(0,3443901.61-(IF(H64&lt;&gt;"",H64,IF($D$37&lt;&gt;"",$D$37,IF((IF(H63="",IF($D$35="",0,$D$35),H63))=0,0,H53/(IF(H63="",IF($D$35="",0,$D$35),H63)))))))*(IF(H63="",IF($D$35="",0,$D$35),H63))))</f>
        <v/>
      </c>
      <c r="T106" s="75" t="str">
        <f aca="false">IF(R106="","",R106+S106)</f>
        <v/>
      </c>
    </row>
    <row r="107" customFormat="false" ht="15" hidden="false" customHeight="false" outlineLevel="0" collapsed="false">
      <c r="A107" s="77" t="s">
        <v>394</v>
      </c>
      <c r="C107" s="78" t="n">
        <f aca="false">IF(COUNT(C87:C106)=0,"",SUM(C87:C106))</f>
        <v>1793985</v>
      </c>
      <c r="D107" s="78" t="n">
        <f aca="false">IF(COUNT(D87:D106)=0,"",SUM(D87:D106))</f>
        <v>0</v>
      </c>
      <c r="E107" s="78" t="n">
        <f aca="false">IF(COUNT(E87:E106)=0,"",SUM(E87:E106))</f>
        <v>1793985</v>
      </c>
      <c r="F107" s="78" t="n">
        <f aca="false">IF(COUNT(F87:F106)=0,"",SUM(F87:F106))</f>
        <v>1593083.92416</v>
      </c>
      <c r="G107" s="78" t="n">
        <f aca="false">IF(COUNT(G87:G106)=0,"",SUM(G87:G106))</f>
        <v>0</v>
      </c>
      <c r="H107" s="78" t="n">
        <f aca="false">IF(COUNT(H87:H106)=0,"",SUM(H87:H106))</f>
        <v>1593083.92416</v>
      </c>
      <c r="I107" s="78" t="str">
        <f aca="false">IF(COUNT(I87:I106)=0,"",SUM(I87:I106))</f>
        <v/>
      </c>
      <c r="J107" s="78" t="str">
        <f aca="false">IF(COUNT(J87:J106)=0,"",SUM(J87:J106))</f>
        <v/>
      </c>
      <c r="K107" s="78" t="str">
        <f aca="false">IF(COUNT(K87:K106)=0,"",SUM(K87:K106))</f>
        <v/>
      </c>
      <c r="L107" s="78" t="str">
        <f aca="false">IF(COUNT(L87:L106)=0,"",SUM(L87:L106))</f>
        <v/>
      </c>
      <c r="M107" s="78" t="str">
        <f aca="false">IF(COUNT(M87:M106)=0,"",SUM(M87:M106))</f>
        <v/>
      </c>
      <c r="N107" s="78" t="str">
        <f aca="false">IF(COUNT(N87:N106)=0,"",SUM(N87:N106))</f>
        <v/>
      </c>
      <c r="O107" s="78" t="str">
        <f aca="false">IF(COUNT(O87:O106)=0,"",SUM(O87:O106))</f>
        <v/>
      </c>
      <c r="P107" s="78" t="str">
        <f aca="false">IF(COUNT(P87:P106)=0,"",SUM(P87:P106))</f>
        <v/>
      </c>
      <c r="Q107" s="78" t="str">
        <f aca="false">IF(COUNT(Q87:Q106)=0,"",SUM(Q87:Q106))</f>
        <v/>
      </c>
      <c r="R107" s="78" t="str">
        <f aca="false">IF(COUNT(R87:R106)=0,"",SUM(R87:R106))</f>
        <v/>
      </c>
      <c r="S107" s="78" t="str">
        <f aca="false">IF(COUNT(S87:S106)=0,"",SUM(S87:S106))</f>
        <v/>
      </c>
      <c r="T107" s="78" t="str">
        <f aca="false">IF(COUNT(T87:T106)=0,"",SUM(T87:T106))</f>
        <v/>
      </c>
    </row>
    <row r="108" customFormat="false" ht="15" hidden="false" customHeight="false" outlineLevel="0" collapsed="false">
      <c r="A108" s="69" t="s">
        <v>395</v>
      </c>
      <c r="B108" s="69"/>
      <c r="C108" s="69"/>
      <c r="D108" s="69"/>
      <c r="E108" s="69"/>
      <c r="F108" s="69"/>
      <c r="G108" s="69"/>
      <c r="H108" s="69"/>
      <c r="I108" s="69"/>
      <c r="J108" s="69"/>
      <c r="K108" s="69"/>
      <c r="L108" s="69"/>
      <c r="M108" s="69"/>
      <c r="N108" s="69"/>
      <c r="O108" s="69"/>
      <c r="P108" s="69"/>
      <c r="Q108" s="69"/>
      <c r="R108" s="69"/>
      <c r="S108" s="69"/>
      <c r="T108" s="69"/>
    </row>
  </sheetData>
  <mergeCells count="83">
    <mergeCell ref="A2:J2"/>
    <mergeCell ref="A3:J3"/>
    <mergeCell ref="A4:J4"/>
    <mergeCell ref="A5:J5"/>
    <mergeCell ref="A6:J6"/>
    <mergeCell ref="A7:J7"/>
    <mergeCell ref="A8:J8"/>
    <mergeCell ref="A10:C10"/>
    <mergeCell ref="D10:J10"/>
    <mergeCell ref="A11:C11"/>
    <mergeCell ref="D11:J11"/>
    <mergeCell ref="A12:C12"/>
    <mergeCell ref="D12:J12"/>
    <mergeCell ref="A13:C13"/>
    <mergeCell ref="D13:J13"/>
    <mergeCell ref="A14:C14"/>
    <mergeCell ref="D14:J14"/>
    <mergeCell ref="G17:J17"/>
    <mergeCell ref="G18:J18"/>
    <mergeCell ref="G19:J19"/>
    <mergeCell ref="G20:J20"/>
    <mergeCell ref="A21:D21"/>
    <mergeCell ref="A22:J22"/>
    <mergeCell ref="A25:C25"/>
    <mergeCell ref="A26:C26"/>
    <mergeCell ref="E26:J26"/>
    <mergeCell ref="A27:C27"/>
    <mergeCell ref="E27:J27"/>
    <mergeCell ref="A28:C28"/>
    <mergeCell ref="A29:C29"/>
    <mergeCell ref="A30:C30"/>
    <mergeCell ref="E30:J30"/>
    <mergeCell ref="A31:J31"/>
    <mergeCell ref="A32:J32"/>
    <mergeCell ref="A35:C35"/>
    <mergeCell ref="E35:J35"/>
    <mergeCell ref="A36:C36"/>
    <mergeCell ref="E36:J36"/>
    <mergeCell ref="A37:C37"/>
    <mergeCell ref="E37:J37"/>
    <mergeCell ref="A38:C38"/>
    <mergeCell ref="E38:J38"/>
    <mergeCell ref="A39:C39"/>
    <mergeCell ref="A40:C40"/>
    <mergeCell ref="A41:C41"/>
    <mergeCell ref="A42:C42"/>
    <mergeCell ref="A48:G48"/>
    <mergeCell ref="A51:C51"/>
    <mergeCell ref="A52:C52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2:C62"/>
    <mergeCell ref="A63:C63"/>
    <mergeCell ref="A64:C64"/>
    <mergeCell ref="A65:C65"/>
    <mergeCell ref="A66:C66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8:J78"/>
    <mergeCell ref="A80:J80"/>
    <mergeCell ref="A84:T84"/>
    <mergeCell ref="C85:E85"/>
    <mergeCell ref="F85:H85"/>
    <mergeCell ref="I85:K85"/>
    <mergeCell ref="L85:N85"/>
    <mergeCell ref="O85:Q85"/>
    <mergeCell ref="R85:T85"/>
    <mergeCell ref="A108:T108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3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3" topLeftCell="A4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0"/>
    <col collapsed="false" customWidth="true" hidden="false" outlineLevel="0" max="2" min="2" style="0" width="40"/>
    <col collapsed="false" customWidth="true" hidden="false" outlineLevel="0" max="3" min="3" style="0" width="60"/>
    <col collapsed="false" customWidth="true" hidden="false" outlineLevel="0" max="4" min="4" style="0" width="46"/>
    <col collapsed="false" customWidth="true" hidden="false" outlineLevel="0" max="5" min="5" style="0" width="34"/>
  </cols>
  <sheetData>
    <row r="1" customFormat="false" ht="16.15" hidden="false" customHeight="false" outlineLevel="0" collapsed="false">
      <c r="A1" s="3" t="s">
        <v>8</v>
      </c>
    </row>
    <row r="3" customFormat="false" ht="15" hidden="false" customHeight="false" outlineLevel="0" collapsed="false">
      <c r="A3" s="4" t="s">
        <v>9</v>
      </c>
      <c r="B3" s="4" t="s">
        <v>10</v>
      </c>
      <c r="C3" s="4" t="s">
        <v>11</v>
      </c>
      <c r="D3" s="4" t="s">
        <v>12</v>
      </c>
      <c r="E3" s="4" t="s">
        <v>13</v>
      </c>
    </row>
    <row r="4" customFormat="false" ht="32.8" hidden="false" customHeight="false" outlineLevel="0" collapsed="false">
      <c r="A4" s="5" t="s">
        <v>14</v>
      </c>
      <c r="B4" s="6" t="s">
        <v>15</v>
      </c>
      <c r="C4" s="7" t="s">
        <v>16</v>
      </c>
      <c r="D4" s="8" t="s">
        <v>17</v>
      </c>
      <c r="E4" s="9" t="s">
        <v>18</v>
      </c>
    </row>
    <row r="5" customFormat="false" ht="158.2" hidden="false" customHeight="false" outlineLevel="0" collapsed="false">
      <c r="A5" s="5" t="s">
        <v>19</v>
      </c>
      <c r="B5" s="6" t="s">
        <v>20</v>
      </c>
      <c r="C5" s="7" t="s">
        <v>21</v>
      </c>
      <c r="D5" s="8" t="s">
        <v>22</v>
      </c>
      <c r="E5" s="9" t="s">
        <v>23</v>
      </c>
    </row>
    <row r="6" customFormat="false" ht="32.8" hidden="false" customHeight="false" outlineLevel="0" collapsed="false">
      <c r="A6" s="5" t="s">
        <v>24</v>
      </c>
      <c r="B6" s="6" t="s">
        <v>25</v>
      </c>
      <c r="C6" s="7" t="s">
        <v>26</v>
      </c>
      <c r="D6" s="10" t="s">
        <v>27</v>
      </c>
      <c r="E6" s="10" t="s">
        <v>28</v>
      </c>
    </row>
    <row r="7" customFormat="false" ht="32.8" hidden="false" customHeight="false" outlineLevel="0" collapsed="false">
      <c r="A7" s="5" t="s">
        <v>29</v>
      </c>
      <c r="B7" s="6" t="s">
        <v>30</v>
      </c>
      <c r="C7" s="7" t="s">
        <v>31</v>
      </c>
      <c r="D7" s="8" t="s">
        <v>17</v>
      </c>
      <c r="E7" s="9" t="s">
        <v>32</v>
      </c>
    </row>
    <row r="8" customFormat="false" ht="32.8" hidden="false" customHeight="false" outlineLevel="0" collapsed="false">
      <c r="A8" s="5" t="s">
        <v>33</v>
      </c>
      <c r="B8" s="6" t="s">
        <v>34</v>
      </c>
      <c r="C8" s="7" t="s">
        <v>35</v>
      </c>
      <c r="D8" s="8" t="s">
        <v>17</v>
      </c>
      <c r="E8" s="9" t="s">
        <v>36</v>
      </c>
    </row>
    <row r="9" customFormat="false" ht="32.8" hidden="false" customHeight="false" outlineLevel="0" collapsed="false">
      <c r="A9" s="5" t="s">
        <v>37</v>
      </c>
      <c r="B9" s="6" t="s">
        <v>38</v>
      </c>
      <c r="C9" s="7" t="s">
        <v>39</v>
      </c>
      <c r="D9" s="8" t="s">
        <v>17</v>
      </c>
      <c r="E9" s="9" t="s">
        <v>40</v>
      </c>
    </row>
    <row r="10" customFormat="false" ht="32.8" hidden="false" customHeight="false" outlineLevel="0" collapsed="false">
      <c r="A10" s="5" t="s">
        <v>41</v>
      </c>
      <c r="B10" s="6" t="s">
        <v>42</v>
      </c>
      <c r="C10" s="7" t="s">
        <v>43</v>
      </c>
      <c r="D10" s="8" t="s">
        <v>17</v>
      </c>
      <c r="E10" s="9" t="s">
        <v>44</v>
      </c>
    </row>
    <row r="11" customFormat="false" ht="32.8" hidden="false" customHeight="false" outlineLevel="0" collapsed="false">
      <c r="A11" s="5" t="s">
        <v>45</v>
      </c>
      <c r="B11" s="6" t="s">
        <v>46</v>
      </c>
      <c r="C11" s="7" t="s">
        <v>47</v>
      </c>
      <c r="D11" s="10" t="s">
        <v>48</v>
      </c>
      <c r="E11" s="9" t="s">
        <v>49</v>
      </c>
    </row>
    <row r="12" customFormat="false" ht="32.8" hidden="false" customHeight="false" outlineLevel="0" collapsed="false">
      <c r="A12" s="5" t="s">
        <v>50</v>
      </c>
      <c r="B12" s="6" t="s">
        <v>51</v>
      </c>
      <c r="C12" s="7" t="s">
        <v>52</v>
      </c>
      <c r="D12" s="8" t="s">
        <v>17</v>
      </c>
      <c r="E12" s="9" t="s">
        <v>53</v>
      </c>
    </row>
    <row r="13" customFormat="false" ht="32.8" hidden="false" customHeight="false" outlineLevel="0" collapsed="false">
      <c r="A13" s="5" t="s">
        <v>54</v>
      </c>
      <c r="B13" s="6" t="s">
        <v>55</v>
      </c>
      <c r="C13" s="7" t="s">
        <v>56</v>
      </c>
      <c r="D13" s="8" t="s">
        <v>17</v>
      </c>
      <c r="E13" s="9" t="s">
        <v>57</v>
      </c>
    </row>
    <row r="14" customFormat="false" ht="32.8" hidden="false" customHeight="false" outlineLevel="0" collapsed="false">
      <c r="A14" s="5" t="s">
        <v>58</v>
      </c>
      <c r="B14" s="6" t="s">
        <v>59</v>
      </c>
      <c r="C14" s="7" t="s">
        <v>60</v>
      </c>
      <c r="D14" s="8" t="s">
        <v>17</v>
      </c>
      <c r="E14" s="9" t="s">
        <v>61</v>
      </c>
    </row>
    <row r="15" customFormat="false" ht="32.8" hidden="false" customHeight="false" outlineLevel="0" collapsed="false">
      <c r="A15" s="5" t="s">
        <v>62</v>
      </c>
      <c r="B15" s="6" t="s">
        <v>63</v>
      </c>
      <c r="C15" s="7" t="s">
        <v>64</v>
      </c>
      <c r="D15" s="10" t="s">
        <v>65</v>
      </c>
      <c r="E15" s="10" t="s">
        <v>66</v>
      </c>
    </row>
    <row r="16" customFormat="false" ht="32.8" hidden="false" customHeight="false" outlineLevel="0" collapsed="false">
      <c r="A16" s="5" t="s">
        <v>67</v>
      </c>
      <c r="B16" s="6" t="s">
        <v>68</v>
      </c>
      <c r="C16" s="7" t="s">
        <v>69</v>
      </c>
      <c r="D16" s="8" t="s">
        <v>17</v>
      </c>
      <c r="E16" s="9" t="s">
        <v>70</v>
      </c>
    </row>
    <row r="17" customFormat="false" ht="32.8" hidden="false" customHeight="false" outlineLevel="0" collapsed="false">
      <c r="A17" s="5" t="s">
        <v>71</v>
      </c>
      <c r="B17" s="6" t="s">
        <v>72</v>
      </c>
      <c r="C17" s="7" t="s">
        <v>73</v>
      </c>
      <c r="D17" s="8" t="s">
        <v>17</v>
      </c>
      <c r="E17" s="9" t="s">
        <v>74</v>
      </c>
    </row>
    <row r="18" customFormat="false" ht="32.8" hidden="false" customHeight="false" outlineLevel="0" collapsed="false">
      <c r="A18" s="5" t="s">
        <v>75</v>
      </c>
      <c r="B18" s="6" t="s">
        <v>76</v>
      </c>
      <c r="C18" s="7" t="s">
        <v>77</v>
      </c>
      <c r="D18" s="8" t="s">
        <v>17</v>
      </c>
      <c r="E18" s="9" t="s">
        <v>78</v>
      </c>
    </row>
    <row r="19" customFormat="false" ht="32.8" hidden="false" customHeight="false" outlineLevel="0" collapsed="false">
      <c r="A19" s="5" t="s">
        <v>79</v>
      </c>
      <c r="B19" s="6" t="s">
        <v>80</v>
      </c>
      <c r="C19" s="7" t="s">
        <v>81</v>
      </c>
      <c r="D19" s="8" t="s">
        <v>17</v>
      </c>
      <c r="E19" s="9" t="s">
        <v>82</v>
      </c>
    </row>
    <row r="20" customFormat="false" ht="32.8" hidden="false" customHeight="false" outlineLevel="0" collapsed="false">
      <c r="A20" s="5" t="s">
        <v>83</v>
      </c>
      <c r="B20" s="6" t="s">
        <v>84</v>
      </c>
      <c r="C20" s="7" t="s">
        <v>85</v>
      </c>
      <c r="D20" s="8" t="s">
        <v>17</v>
      </c>
      <c r="E20" s="9" t="s">
        <v>86</v>
      </c>
    </row>
    <row r="21" customFormat="false" ht="32.8" hidden="false" customHeight="false" outlineLevel="0" collapsed="false">
      <c r="A21" s="5" t="s">
        <v>87</v>
      </c>
      <c r="B21" s="6" t="s">
        <v>88</v>
      </c>
      <c r="C21" s="7" t="s">
        <v>89</v>
      </c>
      <c r="D21" s="8" t="s">
        <v>17</v>
      </c>
      <c r="E21" s="9" t="s">
        <v>90</v>
      </c>
    </row>
    <row r="22" customFormat="false" ht="22.35" hidden="false" customHeight="false" outlineLevel="0" collapsed="false">
      <c r="A22" s="5" t="s">
        <v>91</v>
      </c>
      <c r="B22" s="6" t="s">
        <v>92</v>
      </c>
      <c r="C22" s="7" t="s">
        <v>93</v>
      </c>
      <c r="D22" s="8" t="s">
        <v>17</v>
      </c>
      <c r="E22" s="9"/>
    </row>
    <row r="23" customFormat="false" ht="32.8" hidden="false" customHeight="false" outlineLevel="0" collapsed="false">
      <c r="A23" s="5" t="s">
        <v>94</v>
      </c>
      <c r="B23" s="6" t="s">
        <v>95</v>
      </c>
      <c r="C23" s="7" t="s">
        <v>96</v>
      </c>
      <c r="D23" s="8" t="s">
        <v>17</v>
      </c>
      <c r="E23" s="9" t="s">
        <v>97</v>
      </c>
    </row>
    <row r="24" customFormat="false" ht="32.8" hidden="false" customHeight="false" outlineLevel="0" collapsed="false">
      <c r="A24" s="5" t="s">
        <v>98</v>
      </c>
      <c r="B24" s="6" t="s">
        <v>99</v>
      </c>
      <c r="C24" s="7" t="s">
        <v>100</v>
      </c>
      <c r="D24" s="8" t="s">
        <v>17</v>
      </c>
      <c r="E24" s="9" t="s">
        <v>101</v>
      </c>
    </row>
    <row r="25" customFormat="false" ht="32.8" hidden="false" customHeight="false" outlineLevel="0" collapsed="false">
      <c r="A25" s="5" t="s">
        <v>102</v>
      </c>
      <c r="B25" s="6" t="s">
        <v>103</v>
      </c>
      <c r="C25" s="7" t="s">
        <v>104</v>
      </c>
      <c r="D25" s="10" t="s">
        <v>105</v>
      </c>
      <c r="E25" s="9" t="s">
        <v>106</v>
      </c>
    </row>
    <row r="26" customFormat="false" ht="32.8" hidden="false" customHeight="false" outlineLevel="0" collapsed="false">
      <c r="A26" s="5" t="s">
        <v>107</v>
      </c>
      <c r="B26" s="6" t="s">
        <v>108</v>
      </c>
      <c r="C26" s="7" t="s">
        <v>109</v>
      </c>
      <c r="D26" s="10" t="s">
        <v>65</v>
      </c>
      <c r="E26" s="10" t="s">
        <v>110</v>
      </c>
    </row>
    <row r="27" customFormat="false" ht="32.8" hidden="false" customHeight="false" outlineLevel="0" collapsed="false">
      <c r="A27" s="5" t="s">
        <v>111</v>
      </c>
      <c r="B27" s="6" t="s">
        <v>112</v>
      </c>
      <c r="C27" s="7" t="s">
        <v>113</v>
      </c>
      <c r="D27" s="10" t="s">
        <v>65</v>
      </c>
      <c r="E27" s="10" t="s">
        <v>114</v>
      </c>
    </row>
    <row r="28" customFormat="false" ht="32.8" hidden="false" customHeight="false" outlineLevel="0" collapsed="false">
      <c r="A28" s="5" t="s">
        <v>115</v>
      </c>
      <c r="B28" s="6" t="s">
        <v>116</v>
      </c>
      <c r="C28" s="7" t="s">
        <v>117</v>
      </c>
      <c r="D28" s="8" t="s">
        <v>17</v>
      </c>
      <c r="E28" s="9" t="s">
        <v>118</v>
      </c>
    </row>
    <row r="29" customFormat="false" ht="32.8" hidden="false" customHeight="false" outlineLevel="0" collapsed="false">
      <c r="A29" s="5" t="s">
        <v>119</v>
      </c>
      <c r="B29" s="6" t="s">
        <v>120</v>
      </c>
      <c r="C29" s="7" t="s">
        <v>121</v>
      </c>
      <c r="D29" s="8" t="s">
        <v>17</v>
      </c>
      <c r="E29" s="9" t="s">
        <v>122</v>
      </c>
    </row>
    <row r="30" customFormat="false" ht="32.8" hidden="false" customHeight="false" outlineLevel="0" collapsed="false">
      <c r="A30" s="5" t="s">
        <v>123</v>
      </c>
      <c r="B30" s="6" t="s">
        <v>124</v>
      </c>
      <c r="C30" s="7" t="s">
        <v>125</v>
      </c>
      <c r="D30" s="8" t="s">
        <v>17</v>
      </c>
      <c r="E30" s="9" t="s">
        <v>126</v>
      </c>
    </row>
  </sheetData>
  <hyperlinks>
    <hyperlink ref="A4" r:id="rId1" location="'KE%2028521'!A1" display="KE 28521"/>
    <hyperlink ref="A5" r:id="rId2" location="'KE%201968'!A1" display="KE 1968"/>
    <hyperlink ref="A6" r:id="rId3" location="'JD%2028512'!A1" display="JD 28512"/>
    <hyperlink ref="A7" r:id="rId4" location="'KE%2028518'!A1" display="KE 28518"/>
    <hyperlink ref="A8" r:id="rId5" location="'KE%202828'!A1" display="KE 2828"/>
    <hyperlink ref="A9" r:id="rId6" location="'KE%203186'!A1" display="KE 3186"/>
    <hyperlink ref="A10" r:id="rId7" location="'KE%2033838'!A1" display="KE 33838"/>
    <hyperlink ref="A11" r:id="rId8" location="'KE%2033866'!A1" display="KE 33866"/>
    <hyperlink ref="A12" r:id="rId9" location="'JD%2018776'!A1" display="JD 18776"/>
    <hyperlink ref="A13" r:id="rId10" location="'KE%2028526'!A1" display="KE 28526"/>
    <hyperlink ref="A14" r:id="rId11" location="'JD%2033630'!A1" display="JD 33630"/>
    <hyperlink ref="A15" r:id="rId12" location="'JD%2033629'!A1" display="JD 33629"/>
    <hyperlink ref="A16" r:id="rId13" location="'KE%2031991'!A1" display="KE 31991"/>
    <hyperlink ref="A17" r:id="rId14" location="'KE%2031994'!A1" display="KE 31994"/>
    <hyperlink ref="A18" r:id="rId15" location="'KE%2032700'!A1" display="KE 32700"/>
    <hyperlink ref="A19" r:id="rId16" location="'KE%2033867'!A1" display="KE 33867"/>
    <hyperlink ref="A20" r:id="rId17" location="'KE%2033851'!A1" display="KE 33851"/>
    <hyperlink ref="A21" r:id="rId18" location="'KE%2033847'!A1" display="KE 33847"/>
    <hyperlink ref="A22" r:id="rId19" location="'KE%2033850'!A1" display="KE 33850"/>
    <hyperlink ref="A23" r:id="rId20" location="'KE%2033852'!A1" display="KE 33852"/>
    <hyperlink ref="A24" r:id="rId21" location="'KE%2035881'!A1" display="KE 35881"/>
    <hyperlink ref="A25" r:id="rId22" location="'JD%203052'!A1" display="JD 3052"/>
    <hyperlink ref="A26" r:id="rId23" location="'KE%2031983'!A1" display="KE 31983"/>
    <hyperlink ref="A27" r:id="rId24" location="'KE%2031987'!A1" display="KE 31987"/>
    <hyperlink ref="A28" r:id="rId25" location="'KE%2031989'!A1" display="KE 31989"/>
    <hyperlink ref="A29" r:id="rId26" location="'KE%2031992'!A1" display="KE 31992"/>
    <hyperlink ref="A30" r:id="rId27" location="'KE%2031996'!A1" display="KE 31996"/>
  </hyperlink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T10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6"/>
    <col collapsed="false" customWidth="true" hidden="false" outlineLevel="0" max="2" min="2" style="0" width="22"/>
    <col collapsed="false" customWidth="true" hidden="false" outlineLevel="0" max="3" min="3" style="0" width="11"/>
    <col collapsed="false" customWidth="true" hidden="false" outlineLevel="0" max="4" min="4" style="0" width="14"/>
    <col collapsed="false" customWidth="true" hidden="false" outlineLevel="0" max="6" min="5" style="0" width="12"/>
    <col collapsed="false" customWidth="true" hidden="false" outlineLevel="0" max="7" min="7" style="0" width="14"/>
    <col collapsed="false" customWidth="true" hidden="false" outlineLevel="0" max="9" min="8" style="0" width="13"/>
    <col collapsed="false" customWidth="true" hidden="false" outlineLevel="0" max="10" min="10" style="0" width="26"/>
  </cols>
  <sheetData>
    <row r="1" customFormat="false" ht="16.15" hidden="false" customHeight="false" outlineLevel="0" collapsed="false">
      <c r="A1" s="3" t="s">
        <v>795</v>
      </c>
    </row>
    <row r="2" customFormat="false" ht="25.5" hidden="false" customHeight="true" outlineLevel="0" collapsed="false">
      <c r="A2" s="12" t="s">
        <v>251</v>
      </c>
      <c r="B2" s="12"/>
      <c r="C2" s="12"/>
      <c r="D2" s="12"/>
      <c r="E2" s="12"/>
      <c r="F2" s="12"/>
      <c r="G2" s="12"/>
      <c r="H2" s="12"/>
      <c r="I2" s="12"/>
      <c r="J2" s="12"/>
    </row>
    <row r="3" customFormat="false" ht="15" hidden="false" customHeight="true" outlineLevel="0" collapsed="false">
      <c r="A3" s="16" t="s">
        <v>796</v>
      </c>
      <c r="B3" s="16"/>
      <c r="C3" s="16"/>
      <c r="D3" s="16"/>
      <c r="E3" s="16"/>
      <c r="F3" s="16"/>
      <c r="G3" s="16"/>
      <c r="H3" s="16"/>
      <c r="I3" s="16"/>
      <c r="J3" s="16"/>
    </row>
    <row r="4" customFormat="false" ht="30" hidden="false" customHeight="true" outlineLevel="0" collapsed="false">
      <c r="A4" s="17" t="s">
        <v>85</v>
      </c>
      <c r="B4" s="17"/>
      <c r="C4" s="17"/>
      <c r="D4" s="17"/>
      <c r="E4" s="17"/>
      <c r="F4" s="17"/>
      <c r="G4" s="17"/>
      <c r="H4" s="17"/>
      <c r="I4" s="17"/>
      <c r="J4" s="17"/>
    </row>
    <row r="5" customFormat="false" ht="15" hidden="false" customHeight="true" outlineLevel="0" collapsed="false">
      <c r="A5" s="18" t="s">
        <v>17</v>
      </c>
      <c r="B5" s="18"/>
      <c r="C5" s="18"/>
      <c r="D5" s="18"/>
      <c r="E5" s="18"/>
      <c r="F5" s="18"/>
      <c r="G5" s="18"/>
      <c r="H5" s="18"/>
      <c r="I5" s="18"/>
      <c r="J5" s="18"/>
    </row>
    <row r="6" customFormat="false" ht="15" hidden="false" customHeight="true" outlineLevel="0" collapsed="false">
      <c r="A6" s="19" t="s">
        <v>86</v>
      </c>
      <c r="B6" s="19"/>
      <c r="C6" s="19"/>
      <c r="D6" s="19"/>
      <c r="E6" s="19"/>
      <c r="F6" s="19"/>
      <c r="G6" s="19"/>
      <c r="H6" s="19"/>
      <c r="I6" s="19"/>
      <c r="J6" s="19"/>
    </row>
    <row r="7" customFormat="false" ht="23.85" hidden="false" customHeight="true" outlineLevel="0" collapsed="false">
      <c r="A7" s="20" t="s">
        <v>797</v>
      </c>
      <c r="B7" s="20"/>
      <c r="C7" s="20"/>
      <c r="D7" s="20"/>
      <c r="E7" s="20"/>
      <c r="F7" s="20"/>
      <c r="G7" s="20"/>
      <c r="H7" s="20"/>
      <c r="I7" s="20"/>
      <c r="J7" s="20"/>
    </row>
    <row r="8" customFormat="false" ht="15" hidden="false" customHeight="true" outlineLevel="0" collapsed="false">
      <c r="A8" s="21" t="s">
        <v>254</v>
      </c>
      <c r="B8" s="21"/>
      <c r="C8" s="21"/>
      <c r="D8" s="21"/>
      <c r="E8" s="21"/>
      <c r="F8" s="21"/>
      <c r="G8" s="21"/>
      <c r="H8" s="21"/>
      <c r="I8" s="21"/>
      <c r="J8" s="21"/>
    </row>
    <row r="10" customFormat="false" ht="15" hidden="false" customHeight="true" outlineLevel="0" collapsed="false">
      <c r="A10" s="22" t="s">
        <v>255</v>
      </c>
      <c r="B10" s="22"/>
      <c r="C10" s="22"/>
      <c r="D10" s="23" t="s">
        <v>798</v>
      </c>
      <c r="E10" s="23"/>
      <c r="F10" s="23"/>
      <c r="G10" s="23"/>
      <c r="H10" s="23"/>
      <c r="I10" s="23"/>
      <c r="J10" s="23"/>
    </row>
    <row r="11" customFormat="false" ht="15" hidden="false" customHeight="true" outlineLevel="0" collapsed="false">
      <c r="A11" s="22" t="s">
        <v>257</v>
      </c>
      <c r="B11" s="22"/>
      <c r="C11" s="22"/>
      <c r="D11" s="23" t="s">
        <v>799</v>
      </c>
      <c r="E11" s="23"/>
      <c r="F11" s="23"/>
      <c r="G11" s="23"/>
      <c r="H11" s="23"/>
      <c r="I11" s="23"/>
      <c r="J11" s="23"/>
    </row>
    <row r="12" customFormat="false" ht="15" hidden="false" customHeight="true" outlineLevel="0" collapsed="false">
      <c r="A12" s="22" t="s">
        <v>259</v>
      </c>
      <c r="B12" s="22"/>
      <c r="C12" s="22"/>
      <c r="D12" s="86"/>
      <c r="E12" s="86"/>
      <c r="F12" s="86"/>
      <c r="G12" s="86"/>
      <c r="H12" s="86"/>
      <c r="I12" s="86"/>
      <c r="J12" s="86"/>
    </row>
    <row r="13" customFormat="false" ht="15" hidden="false" customHeight="true" outlineLevel="0" collapsed="false">
      <c r="A13" s="22" t="s">
        <v>261</v>
      </c>
      <c r="B13" s="22"/>
      <c r="C13" s="22"/>
      <c r="D13" s="24" t="n">
        <v>3372000</v>
      </c>
      <c r="E13" s="24"/>
      <c r="F13" s="24"/>
      <c r="G13" s="24"/>
      <c r="H13" s="24"/>
      <c r="I13" s="24"/>
      <c r="J13" s="24"/>
    </row>
    <row r="14" customFormat="false" ht="35.05" hidden="false" customHeight="true" outlineLevel="0" collapsed="false">
      <c r="A14" s="22" t="s">
        <v>262</v>
      </c>
      <c r="B14" s="22"/>
      <c r="C14" s="22"/>
      <c r="D14" s="22" t="s">
        <v>800</v>
      </c>
      <c r="E14" s="22"/>
      <c r="F14" s="22"/>
      <c r="G14" s="22"/>
      <c r="H14" s="22"/>
      <c r="I14" s="22"/>
      <c r="J14" s="22"/>
    </row>
    <row r="16" customFormat="false" ht="15" hidden="false" customHeight="false" outlineLevel="0" collapsed="false">
      <c r="A16" s="25" t="s">
        <v>264</v>
      </c>
    </row>
    <row r="17" customFormat="false" ht="22.35" hidden="false" customHeight="true" outlineLevel="0" collapsed="false">
      <c r="A17" s="26" t="s">
        <v>265</v>
      </c>
      <c r="B17" s="26" t="s">
        <v>266</v>
      </c>
      <c r="C17" s="26" t="s">
        <v>267</v>
      </c>
      <c r="D17" s="26" t="s">
        <v>268</v>
      </c>
      <c r="E17" s="26" t="s">
        <v>269</v>
      </c>
      <c r="F17" s="26" t="s">
        <v>270</v>
      </c>
      <c r="G17" s="26" t="s">
        <v>271</v>
      </c>
      <c r="H17" s="26"/>
      <c r="I17" s="26"/>
      <c r="J17" s="26"/>
    </row>
    <row r="18" customFormat="false" ht="19.4" hidden="false" customHeight="true" outlineLevel="0" collapsed="false">
      <c r="A18" s="27" t="s">
        <v>801</v>
      </c>
      <c r="B18" s="28" t="s">
        <v>802</v>
      </c>
      <c r="C18" s="28" t="s">
        <v>803</v>
      </c>
      <c r="D18" s="29" t="n">
        <v>7535.07</v>
      </c>
      <c r="E18" s="30" t="n">
        <f aca="false">IF(D18="","",D18*12)</f>
        <v>90420.84</v>
      </c>
      <c r="F18" s="31" t="n">
        <v>1</v>
      </c>
      <c r="G18" s="32" t="s">
        <v>804</v>
      </c>
      <c r="H18" s="32"/>
      <c r="I18" s="32"/>
      <c r="J18" s="32"/>
    </row>
    <row r="19" customFormat="false" ht="15" hidden="false" customHeight="true" outlineLevel="0" collapsed="false">
      <c r="A19" s="27" t="s">
        <v>805</v>
      </c>
      <c r="B19" s="28" t="s">
        <v>806</v>
      </c>
      <c r="C19" s="28" t="s">
        <v>807</v>
      </c>
      <c r="D19" s="80" t="n">
        <v>7993.95</v>
      </c>
      <c r="E19" s="30" t="n">
        <f aca="false">IF(D19="","",D19*12)</f>
        <v>95927.4</v>
      </c>
      <c r="F19" s="31" t="n">
        <v>1</v>
      </c>
      <c r="G19" s="32" t="s">
        <v>808</v>
      </c>
      <c r="H19" s="32"/>
      <c r="I19" s="32"/>
      <c r="J19" s="32"/>
    </row>
    <row r="20" customFormat="false" ht="15" hidden="false" customHeight="true" outlineLevel="0" collapsed="false">
      <c r="A20" s="27" t="s">
        <v>809</v>
      </c>
      <c r="B20" s="28" t="s">
        <v>810</v>
      </c>
      <c r="C20" s="28" t="s">
        <v>811</v>
      </c>
      <c r="D20" s="80" t="n">
        <v>8480</v>
      </c>
      <c r="E20" s="30" t="n">
        <f aca="false">IF(D20="","",D20*12)</f>
        <v>101760</v>
      </c>
      <c r="F20" s="31" t="n">
        <v>3</v>
      </c>
      <c r="G20" s="32" t="s">
        <v>812</v>
      </c>
      <c r="H20" s="32"/>
      <c r="I20" s="32"/>
      <c r="J20" s="32"/>
    </row>
    <row r="21" customFormat="false" ht="23.85" hidden="false" customHeight="true" outlineLevel="0" collapsed="false">
      <c r="A21" s="27" t="s">
        <v>813</v>
      </c>
      <c r="B21" s="28" t="s">
        <v>814</v>
      </c>
      <c r="C21" s="28" t="s">
        <v>815</v>
      </c>
      <c r="D21" s="80" t="n">
        <v>9270</v>
      </c>
      <c r="E21" s="30" t="n">
        <f aca="false">IF(D21="","",D21*12)</f>
        <v>111240</v>
      </c>
      <c r="F21" s="31" t="n">
        <v>5</v>
      </c>
      <c r="G21" s="32" t="s">
        <v>816</v>
      </c>
      <c r="H21" s="32"/>
      <c r="I21" s="32"/>
      <c r="J21" s="32"/>
    </row>
    <row r="22" customFormat="false" ht="15" hidden="false" customHeight="false" outlineLevel="0" collapsed="false">
      <c r="A22" s="34" t="s">
        <v>284</v>
      </c>
      <c r="B22" s="34"/>
      <c r="C22" s="34"/>
      <c r="D22" s="34"/>
      <c r="E22" s="35" t="n">
        <f aca="false">IF(SUMPRODUCT(E18:E21,F18:F21)=0,"",SUMPRODUCT(E18:E21,F18:F21))</f>
        <v>1047828.24</v>
      </c>
      <c r="F22" s="36"/>
      <c r="G22" s="36"/>
      <c r="H22" s="36"/>
      <c r="I22" s="36"/>
      <c r="J22" s="36"/>
    </row>
    <row r="23" customFormat="false" ht="15" hidden="false" customHeight="false" outlineLevel="0" collapsed="false">
      <c r="A23" s="81" t="s">
        <v>817</v>
      </c>
      <c r="B23" s="81"/>
      <c r="C23" s="81"/>
      <c r="D23" s="81"/>
      <c r="E23" s="81"/>
      <c r="F23" s="81"/>
      <c r="G23" s="81"/>
      <c r="H23" s="81"/>
      <c r="I23" s="81"/>
      <c r="J23" s="81"/>
    </row>
    <row r="25" customFormat="false" ht="15" hidden="false" customHeight="false" outlineLevel="0" collapsed="false">
      <c r="A25" s="25" t="s">
        <v>286</v>
      </c>
    </row>
    <row r="26" customFormat="false" ht="15" hidden="false" customHeight="true" outlineLevel="0" collapsed="false">
      <c r="A26" s="22" t="s">
        <v>287</v>
      </c>
      <c r="B26" s="22"/>
      <c r="C26" s="22"/>
      <c r="D26" s="35" t="n">
        <v>90420.84</v>
      </c>
      <c r="E26" s="36"/>
      <c r="F26" s="36"/>
      <c r="G26" s="36"/>
      <c r="H26" s="36"/>
      <c r="I26" s="36"/>
      <c r="J26" s="36"/>
    </row>
    <row r="27" customFormat="false" ht="15" hidden="false" customHeight="true" outlineLevel="0" collapsed="false">
      <c r="A27" s="22" t="s">
        <v>288</v>
      </c>
      <c r="B27" s="22"/>
      <c r="C27" s="22"/>
      <c r="D27" s="38" t="n">
        <v>0.0268151957295374</v>
      </c>
      <c r="E27" s="39" t="s">
        <v>289</v>
      </c>
      <c r="F27" s="39"/>
      <c r="G27" s="39"/>
      <c r="H27" s="39"/>
      <c r="I27" s="39"/>
      <c r="J27" s="39"/>
    </row>
    <row r="28" customFormat="false" ht="15" hidden="false" customHeight="true" outlineLevel="0" collapsed="false">
      <c r="A28" s="22" t="s">
        <v>818</v>
      </c>
      <c r="B28" s="22"/>
      <c r="C28" s="22"/>
      <c r="D28" s="35" t="n">
        <v>40170</v>
      </c>
      <c r="E28" s="39" t="s">
        <v>291</v>
      </c>
      <c r="F28" s="39"/>
      <c r="G28" s="39"/>
      <c r="H28" s="39"/>
      <c r="I28" s="39"/>
      <c r="J28" s="39"/>
    </row>
    <row r="29" customFormat="false" ht="15" hidden="false" customHeight="true" outlineLevel="0" collapsed="false">
      <c r="A29" s="22" t="s">
        <v>292</v>
      </c>
      <c r="B29" s="22"/>
      <c r="C29" s="22"/>
      <c r="D29" s="35" t="n">
        <v>0</v>
      </c>
      <c r="E29" s="36"/>
      <c r="F29" s="36"/>
      <c r="G29" s="36"/>
      <c r="H29" s="36"/>
      <c r="I29" s="36"/>
      <c r="J29" s="36"/>
    </row>
    <row r="30" customFormat="false" ht="15" hidden="false" customHeight="true" outlineLevel="0" collapsed="false">
      <c r="A30" s="22" t="s">
        <v>293</v>
      </c>
      <c r="B30" s="22"/>
      <c r="C30" s="22"/>
      <c r="D30" s="35" t="n">
        <v>130590.84</v>
      </c>
      <c r="E30" s="36"/>
      <c r="F30" s="36"/>
      <c r="G30" s="36"/>
      <c r="H30" s="36"/>
      <c r="I30" s="36"/>
      <c r="J30" s="36"/>
    </row>
    <row r="31" customFormat="false" ht="15" hidden="false" customHeight="true" outlineLevel="0" collapsed="false">
      <c r="A31" s="22" t="s">
        <v>294</v>
      </c>
      <c r="B31" s="22"/>
      <c r="C31" s="22"/>
      <c r="D31" s="38" t="n">
        <v>0.0387280071174377</v>
      </c>
      <c r="E31" s="39" t="s">
        <v>295</v>
      </c>
      <c r="F31" s="39"/>
      <c r="G31" s="39"/>
      <c r="H31" s="39"/>
      <c r="I31" s="39"/>
      <c r="J31" s="39"/>
    </row>
    <row r="32" customFormat="false" ht="27.75" hidden="false" customHeight="true" outlineLevel="0" collapsed="false">
      <c r="A32" s="40" t="s">
        <v>819</v>
      </c>
      <c r="B32" s="40"/>
      <c r="C32" s="40"/>
      <c r="D32" s="40"/>
      <c r="E32" s="40"/>
      <c r="F32" s="40"/>
      <c r="G32" s="40"/>
      <c r="H32" s="40"/>
      <c r="I32" s="40"/>
      <c r="J32" s="40"/>
    </row>
    <row r="33" customFormat="false" ht="15" hidden="false" customHeight="false" outlineLevel="0" collapsed="false">
      <c r="A33" s="41" t="s">
        <v>820</v>
      </c>
      <c r="B33" s="41"/>
      <c r="C33" s="41"/>
      <c r="D33" s="41"/>
      <c r="E33" s="41"/>
      <c r="F33" s="41"/>
      <c r="G33" s="41"/>
      <c r="H33" s="41"/>
      <c r="I33" s="41"/>
      <c r="J33" s="41"/>
    </row>
    <row r="35" customFormat="false" ht="15" hidden="false" customHeight="false" outlineLevel="0" collapsed="false">
      <c r="A35" s="25" t="s">
        <v>298</v>
      </c>
    </row>
    <row r="36" customFormat="false" ht="15" hidden="false" customHeight="true" outlineLevel="0" collapsed="false">
      <c r="A36" s="22" t="s">
        <v>299</v>
      </c>
      <c r="B36" s="22"/>
      <c r="C36" s="22"/>
      <c r="D36" s="42" t="n">
        <v>0</v>
      </c>
      <c r="E36" s="43" t="s">
        <v>300</v>
      </c>
      <c r="F36" s="43"/>
      <c r="G36" s="43"/>
      <c r="H36" s="43"/>
      <c r="I36" s="43"/>
      <c r="J36" s="43"/>
    </row>
    <row r="37" customFormat="false" ht="15" hidden="false" customHeight="true" outlineLevel="0" collapsed="false">
      <c r="A37" s="22" t="s">
        <v>301</v>
      </c>
      <c r="B37" s="22"/>
      <c r="C37" s="22"/>
      <c r="D37" s="34" t="s">
        <v>302</v>
      </c>
      <c r="E37" s="43" t="s">
        <v>303</v>
      </c>
      <c r="F37" s="43"/>
      <c r="G37" s="43"/>
      <c r="H37" s="43"/>
      <c r="I37" s="43"/>
      <c r="J37" s="43"/>
    </row>
    <row r="38" customFormat="false" ht="15" hidden="false" customHeight="true" outlineLevel="0" collapsed="false">
      <c r="A38" s="22" t="s">
        <v>304</v>
      </c>
      <c r="B38" s="22"/>
      <c r="C38" s="22"/>
      <c r="D38" s="44"/>
      <c r="E38" s="43" t="s">
        <v>305</v>
      </c>
      <c r="F38" s="43"/>
      <c r="G38" s="43"/>
      <c r="H38" s="43"/>
      <c r="I38" s="43"/>
      <c r="J38" s="43"/>
    </row>
    <row r="39" customFormat="false" ht="23.85" hidden="false" customHeight="true" outlineLevel="0" collapsed="false">
      <c r="A39" s="22" t="s">
        <v>306</v>
      </c>
      <c r="B39" s="22"/>
      <c r="C39" s="22"/>
      <c r="D39" s="45" t="str">
        <f aca="false">IF(OR($D$36="",E18=""),"",IF($D$36=0,"— (no % rent)",E18/$D$36))</f>
        <v>— (no % rent)</v>
      </c>
      <c r="E39" s="43" t="s">
        <v>307</v>
      </c>
      <c r="F39" s="43"/>
      <c r="G39" s="43"/>
      <c r="H39" s="43"/>
      <c r="I39" s="43"/>
      <c r="J39" s="43"/>
    </row>
    <row r="40" customFormat="false" ht="23.85" hidden="false" customHeight="true" outlineLevel="0" collapsed="false">
      <c r="A40" s="22" t="s">
        <v>308</v>
      </c>
      <c r="B40" s="22"/>
      <c r="C40" s="22"/>
      <c r="D40" s="45" t="str">
        <f aca="false">IF($D$36="","",IF($D$36=0,"— (no % rent)",IF($D$38&lt;&gt;"",$D$38,IF(E18="","",E18/$D$36))))</f>
        <v>— (no % rent)</v>
      </c>
      <c r="E40" s="36"/>
      <c r="F40" s="36"/>
      <c r="G40" s="36"/>
      <c r="H40" s="36"/>
      <c r="I40" s="36"/>
      <c r="J40" s="36"/>
    </row>
    <row r="41" customFormat="false" ht="15" hidden="false" customHeight="true" outlineLevel="0" collapsed="false">
      <c r="A41" s="22" t="s">
        <v>309</v>
      </c>
      <c r="B41" s="22"/>
      <c r="C41" s="22"/>
      <c r="D41" s="45" t="n">
        <f aca="false">IF(OR($D$36="",D13=""),"",IF($D$36=0,0,IF($D$40="","",MAX(0,D13-$D$40)*$D$36)))</f>
        <v>0</v>
      </c>
      <c r="E41" s="36"/>
      <c r="F41" s="36"/>
      <c r="G41" s="36"/>
      <c r="H41" s="36"/>
      <c r="I41" s="36"/>
      <c r="J41" s="36"/>
    </row>
    <row r="42" customFormat="false" ht="15" hidden="false" customHeight="true" outlineLevel="0" collapsed="false">
      <c r="A42" s="22" t="s">
        <v>310</v>
      </c>
      <c r="B42" s="22"/>
      <c r="C42" s="22"/>
      <c r="D42" s="45" t="n">
        <f aca="false">IF(OR(D41="",E18=""),"",E18+D41)</f>
        <v>90420.84</v>
      </c>
      <c r="E42" s="36"/>
      <c r="F42" s="36"/>
      <c r="G42" s="36"/>
      <c r="H42" s="36"/>
      <c r="I42" s="36"/>
      <c r="J42" s="36"/>
    </row>
    <row r="43" customFormat="false" ht="15" hidden="false" customHeight="true" outlineLevel="0" collapsed="false">
      <c r="A43" s="22" t="s">
        <v>311</v>
      </c>
      <c r="B43" s="22"/>
      <c r="C43" s="22"/>
      <c r="D43" s="46" t="n">
        <f aca="false">IF(OR(D42="",D13=""),"",D42/D13)</f>
        <v>0.0268151957295374</v>
      </c>
      <c r="E43" s="36"/>
      <c r="F43" s="36"/>
      <c r="G43" s="36"/>
      <c r="H43" s="36"/>
      <c r="I43" s="36"/>
      <c r="J43" s="36"/>
    </row>
    <row r="45" customFormat="false" ht="15" hidden="false" customHeight="false" outlineLevel="0" collapsed="false">
      <c r="A45" s="25" t="s">
        <v>312</v>
      </c>
    </row>
    <row r="46" customFormat="false" ht="22.35" hidden="false" customHeight="false" outlineLevel="0" collapsed="false">
      <c r="A46" s="26" t="s">
        <v>313</v>
      </c>
      <c r="B46" s="26" t="s">
        <v>314</v>
      </c>
      <c r="C46" s="26" t="s">
        <v>315</v>
      </c>
      <c r="D46" s="26" t="s">
        <v>316</v>
      </c>
      <c r="E46" s="26" t="s">
        <v>317</v>
      </c>
      <c r="F46" s="26" t="s">
        <v>318</v>
      </c>
      <c r="G46" s="26" t="s">
        <v>319</v>
      </c>
      <c r="H46" s="26" t="s">
        <v>269</v>
      </c>
      <c r="I46" s="26" t="s">
        <v>320</v>
      </c>
      <c r="J46" s="26" t="s">
        <v>321</v>
      </c>
    </row>
    <row r="47" customFormat="false" ht="22.35" hidden="false" customHeight="false" outlineLevel="0" collapsed="false">
      <c r="A47" s="47" t="s">
        <v>200</v>
      </c>
      <c r="B47" s="47" t="s">
        <v>821</v>
      </c>
      <c r="C47" s="47" t="s">
        <v>822</v>
      </c>
      <c r="D47" s="47" t="s">
        <v>823</v>
      </c>
      <c r="E47" s="47" t="s">
        <v>824</v>
      </c>
      <c r="F47" s="47" t="s">
        <v>825</v>
      </c>
      <c r="G47" s="47" t="s">
        <v>826</v>
      </c>
      <c r="H47" s="49" t="n">
        <v>150000</v>
      </c>
      <c r="I47" s="50" t="s">
        <v>328</v>
      </c>
      <c r="J47" s="47" t="s">
        <v>827</v>
      </c>
    </row>
    <row r="48" customFormat="false" ht="15" hidden="false" customHeight="false" outlineLevel="0" collapsed="false">
      <c r="A48" s="52" t="s">
        <v>344</v>
      </c>
      <c r="B48" s="52"/>
      <c r="C48" s="52"/>
      <c r="D48" s="52"/>
      <c r="E48" s="52"/>
      <c r="F48" s="52"/>
      <c r="G48" s="52"/>
      <c r="H48" s="53" t="n">
        <f aca="false">IF(COUNT(H47:H47)=0,"",AVERAGE(H47:H47))</f>
        <v>150000</v>
      </c>
      <c r="I48" s="52" t="str">
        <f aca="false">IF(COUNT(H47:H47)=0,"",TEXT(MIN(H47:H47),"$#,##0")&amp;" – "&amp;TEXT(MAX(H47:H47),"$#,##0"))</f>
        <v>$150,000 – $150,000</v>
      </c>
      <c r="J48" s="36"/>
    </row>
    <row r="50" customFormat="false" ht="15" hidden="false" customHeight="false" outlineLevel="0" collapsed="false">
      <c r="A50" s="25" t="s">
        <v>345</v>
      </c>
    </row>
    <row r="51" customFormat="false" ht="53.7" hidden="false" customHeight="true" outlineLevel="0" collapsed="false">
      <c r="A51" s="26" t="s">
        <v>346</v>
      </c>
      <c r="B51" s="26"/>
      <c r="C51" s="26"/>
      <c r="D51" s="26" t="s">
        <v>347</v>
      </c>
      <c r="E51" s="26" t="s">
        <v>348</v>
      </c>
      <c r="F51" s="26" t="s">
        <v>349</v>
      </c>
      <c r="G51" s="26" t="s">
        <v>350</v>
      </c>
      <c r="H51" s="54" t="s">
        <v>351</v>
      </c>
    </row>
    <row r="52" customFormat="false" ht="68.65" hidden="false" customHeight="true" outlineLevel="0" collapsed="false">
      <c r="A52" s="22" t="s">
        <v>352</v>
      </c>
      <c r="B52" s="22"/>
      <c r="C52" s="22"/>
      <c r="D52" s="55" t="s">
        <v>353</v>
      </c>
      <c r="E52" s="56"/>
      <c r="F52" s="56"/>
      <c r="G52" s="56"/>
      <c r="H52" s="56"/>
    </row>
    <row r="53" customFormat="false" ht="15" hidden="false" customHeight="true" outlineLevel="0" collapsed="false">
      <c r="A53" s="22" t="s">
        <v>354</v>
      </c>
      <c r="B53" s="22"/>
      <c r="C53" s="22"/>
      <c r="D53" s="57" t="n">
        <v>90421</v>
      </c>
      <c r="E53" s="57"/>
      <c r="F53" s="57"/>
      <c r="G53" s="57"/>
      <c r="H53" s="57"/>
    </row>
    <row r="54" customFormat="false" ht="15" hidden="false" customHeight="true" outlineLevel="0" collapsed="false">
      <c r="A54" s="22" t="s">
        <v>355</v>
      </c>
      <c r="B54" s="22"/>
      <c r="C54" s="22"/>
      <c r="D54" s="82" t="n">
        <v>0.02</v>
      </c>
      <c r="E54" s="58"/>
      <c r="F54" s="58"/>
      <c r="G54" s="58"/>
      <c r="H54" s="58"/>
    </row>
    <row r="55" customFormat="false" ht="15" hidden="false" customHeight="true" outlineLevel="0" collapsed="false">
      <c r="A55" s="22" t="s">
        <v>356</v>
      </c>
      <c r="B55" s="22"/>
      <c r="C55" s="22"/>
      <c r="D55" s="56" t="n">
        <v>5</v>
      </c>
      <c r="E55" s="56"/>
      <c r="F55" s="56"/>
      <c r="G55" s="56"/>
      <c r="H55" s="56"/>
    </row>
    <row r="56" customFormat="false" ht="15" hidden="false" customHeight="true" outlineLevel="0" collapsed="false">
      <c r="A56" s="22" t="s">
        <v>357</v>
      </c>
      <c r="B56" s="22"/>
      <c r="C56" s="22"/>
      <c r="D56" s="59" t="n">
        <v>20</v>
      </c>
      <c r="E56" s="59"/>
      <c r="F56" s="59"/>
      <c r="G56" s="59"/>
      <c r="H56" s="59"/>
    </row>
    <row r="57" customFormat="false" ht="15" hidden="false" customHeight="true" outlineLevel="0" collapsed="false">
      <c r="A57" s="22" t="s">
        <v>358</v>
      </c>
      <c r="B57" s="22"/>
      <c r="C57" s="22"/>
      <c r="D57" s="60" t="n">
        <f aca="false">IF(OR(D53="",E18=""),"",D53-E18)</f>
        <v>0.160000000003492</v>
      </c>
      <c r="E57" s="60" t="str">
        <f aca="false">IF(OR(E53="",E18=""),"",E53-E18)</f>
        <v/>
      </c>
      <c r="F57" s="60" t="str">
        <f aca="false">IF(OR(F53="",E18=""),"",F53-E18)</f>
        <v/>
      </c>
      <c r="G57" s="60" t="str">
        <f aca="false">IF(OR(G53="",E18=""),"",G53-E18)</f>
        <v/>
      </c>
      <c r="H57" s="60" t="str">
        <f aca="false">IF(OR(H53="",E18=""),"",H53-E18)</f>
        <v/>
      </c>
    </row>
    <row r="58" customFormat="false" ht="15" hidden="false" customHeight="true" outlineLevel="0" collapsed="false">
      <c r="A58" s="22" t="s">
        <v>359</v>
      </c>
      <c r="B58" s="22"/>
      <c r="C58" s="22"/>
      <c r="D58" s="61" t="n">
        <f aca="false">IF(OR(D53="",E18=""),"",(D53-E18)/E18)</f>
        <v>1.7695035790808E-006</v>
      </c>
      <c r="E58" s="61" t="str">
        <f aca="false">IF(OR(E53="",E18=""),"",(E53-E18)/E18)</f>
        <v/>
      </c>
      <c r="F58" s="61" t="str">
        <f aca="false">IF(OR(F53="",E18=""),"",(F53-E18)/E18)</f>
        <v/>
      </c>
      <c r="G58" s="61" t="str">
        <f aca="false">IF(OR(G53="",E18=""),"",(G53-E18)/E18)</f>
        <v/>
      </c>
      <c r="H58" s="61" t="str">
        <f aca="false">IF(OR(H53="",E18=""),"",(H53-E18)/E18)</f>
        <v/>
      </c>
    </row>
    <row r="59" customFormat="false" ht="15" hidden="false" customHeight="true" outlineLevel="0" collapsed="false">
      <c r="A59" s="22" t="s">
        <v>360</v>
      </c>
      <c r="B59" s="22"/>
      <c r="C59" s="22"/>
      <c r="D59" s="62" t="n">
        <f aca="false">IF(OR(D53="",D13=""),"",D53/D13)</f>
        <v>0.0268152431791222</v>
      </c>
      <c r="E59" s="62" t="str">
        <f aca="false">IF(OR(E53="",D13=""),"",E53/D13)</f>
        <v/>
      </c>
      <c r="F59" s="62" t="str">
        <f aca="false">IF(OR(F53="",D13=""),"",F53/D13)</f>
        <v/>
      </c>
      <c r="G59" s="62" t="str">
        <f aca="false">IF(OR(G53="",D13=""),"",G53/D13)</f>
        <v/>
      </c>
      <c r="H59" s="62" t="str">
        <f aca="false">IF(OR(H53="",D13=""),"",H53/D13)</f>
        <v/>
      </c>
    </row>
    <row r="60" customFormat="false" ht="15" hidden="false" customHeight="true" outlineLevel="0" collapsed="false">
      <c r="A60" s="22" t="s">
        <v>361</v>
      </c>
      <c r="B60" s="22"/>
      <c r="C60" s="22"/>
      <c r="D60" s="61" t="n">
        <f aca="false">IF(OR(D53="",H48=""),"",(D53-H48)/H48)</f>
        <v>-0.397193333333333</v>
      </c>
      <c r="E60" s="61" t="str">
        <f aca="false">IF(OR(E53="",H48=""),"",(E53-H48)/H48)</f>
        <v/>
      </c>
      <c r="F60" s="61" t="str">
        <f aca="false">IF(OR(F53="",H48=""),"",(F53-H48)/H48)</f>
        <v/>
      </c>
      <c r="G60" s="61" t="str">
        <f aca="false">IF(OR(G53="",H48=""),"",(G53-H48)/H48)</f>
        <v/>
      </c>
      <c r="H60" s="61" t="str">
        <f aca="false">IF(OR(H53="",H48=""),"",(H53-H48)/H48)</f>
        <v/>
      </c>
    </row>
    <row r="61" customFormat="false" ht="15" hidden="false" customHeight="true" outlineLevel="0" collapsed="false">
      <c r="A61" s="22" t="s">
        <v>362</v>
      </c>
      <c r="B61" s="22"/>
      <c r="C61" s="22"/>
      <c r="D61" s="63" t="n">
        <f aca="true">IF(D53="","",SUMPRODUCT(D53*(1+IF(D54="",0,D54))^ROUNDDOWN((ROW(INDIRECT("1:10"))-1)/IF(D55="",5,D55),0)))</f>
        <v>913252.1</v>
      </c>
      <c r="E61" s="63" t="str">
        <f aca="true">IF(E53="","",SUMPRODUCT(E53*(1+IF(E54="",0,E54))^ROUNDDOWN((ROW(INDIRECT("1:10"))-1)/IF(E55="",5,E55),0)))</f>
        <v/>
      </c>
      <c r="F61" s="63" t="str">
        <f aca="true">IF(F53="","",SUMPRODUCT(F53*(1+IF(F54="",0,F54))^ROUNDDOWN((ROW(INDIRECT("1:10"))-1)/IF(F55="",5,F55),0)))</f>
        <v/>
      </c>
      <c r="G61" s="63" t="str">
        <f aca="true">IF(G53="","",SUMPRODUCT(G53*(1+IF(G54="",0,G54))^ROUNDDOWN((ROW(INDIRECT("1:10"))-1)/IF(G55="",5,G55),0)))</f>
        <v/>
      </c>
      <c r="H61" s="63" t="str">
        <f aca="true">IF(H53="","",SUMPRODUCT(H53*(1+IF(H54="",0,H54))^ROUNDDOWN((ROW(INDIRECT("1:10"))-1)/IF(H55="",5,H55),0)))</f>
        <v/>
      </c>
    </row>
    <row r="62" customFormat="false" ht="15" hidden="false" customHeight="true" outlineLevel="0" collapsed="false">
      <c r="A62" s="22" t="s">
        <v>363</v>
      </c>
      <c r="B62" s="22"/>
      <c r="C62" s="22"/>
      <c r="D62" s="60" t="n">
        <f aca="false">IF(OR(D61="",E22=""),"",D61-E22)</f>
        <v>-134576.14</v>
      </c>
      <c r="E62" s="60" t="str">
        <f aca="false">IF(OR(E61="",E22=""),"",E61-E22)</f>
        <v/>
      </c>
      <c r="F62" s="60" t="str">
        <f aca="false">IF(OR(F61="",E22=""),"",F61-E22)</f>
        <v/>
      </c>
      <c r="G62" s="60" t="str">
        <f aca="false">IF(OR(G61="",E22=""),"",G61-E22)</f>
        <v/>
      </c>
      <c r="H62" s="60" t="str">
        <f aca="false">IF(OR(H61="",E22=""),"",H61-E22)</f>
        <v/>
      </c>
    </row>
    <row r="63" customFormat="false" ht="23.85" hidden="false" customHeight="true" outlineLevel="0" collapsed="false">
      <c r="A63" s="22" t="s">
        <v>364</v>
      </c>
      <c r="B63" s="22"/>
      <c r="C63" s="22"/>
      <c r="D63" s="58"/>
      <c r="E63" s="58"/>
      <c r="F63" s="58"/>
      <c r="G63" s="58"/>
      <c r="H63" s="58"/>
    </row>
    <row r="64" customFormat="false" ht="23.85" hidden="false" customHeight="true" outlineLevel="0" collapsed="false">
      <c r="A64" s="22" t="s">
        <v>365</v>
      </c>
      <c r="B64" s="22"/>
      <c r="C64" s="22"/>
      <c r="D64" s="57"/>
      <c r="E64" s="57"/>
      <c r="F64" s="57"/>
      <c r="G64" s="57"/>
      <c r="H64" s="57"/>
    </row>
    <row r="65" customFormat="false" ht="15" hidden="false" customHeight="true" outlineLevel="0" collapsed="false">
      <c r="A65" s="22" t="s">
        <v>366</v>
      </c>
      <c r="B65" s="22"/>
      <c r="C65" s="22"/>
      <c r="D65" s="63" t="str">
        <f aca="false">IF(OR(D53="",AND(D63="",$D$36="")),"",IF(IF(D63="",IF($D$36="",0,$D$36),D63)=0,"— (% rent removed)",IF(D64&lt;&gt;"",D64,IF($D$38&lt;&gt;"",$D$38,D53/IF(D63="",IF($D$36="",0,$D$36),D63)))))</f>
        <v>— (% rent removed)</v>
      </c>
      <c r="E65" s="63" t="str">
        <f aca="false">IF(OR(E53="",AND(E63="",$D$36="")),"",IF(IF(E63="",IF($D$36="",0,$D$36),E63)=0,"— (% rent removed)",IF(E64&lt;&gt;"",E64,IF($D$38&lt;&gt;"",$D$38,E53/IF(E63="",IF($D$36="",0,$D$36),E63)))))</f>
        <v/>
      </c>
      <c r="F65" s="63" t="str">
        <f aca="false">IF(OR(F53="",AND(F63="",$D$36="")),"",IF(IF(F63="",IF($D$36="",0,$D$36),F63)=0,"— (% rent removed)",IF(F64&lt;&gt;"",F64,IF($D$38&lt;&gt;"",$D$38,F53/IF(F63="",IF($D$36="",0,$D$36),F63)))))</f>
        <v/>
      </c>
      <c r="G65" s="63" t="str">
        <f aca="false">IF(OR(G53="",AND(G63="",$D$36="")),"",IF(IF(G63="",IF($D$36="",0,$D$36),G63)=0,"— (% rent removed)",IF(G64&lt;&gt;"",G64,IF($D$38&lt;&gt;"",$D$38,G53/IF(G63="",IF($D$36="",0,$D$36),G63)))))</f>
        <v/>
      </c>
      <c r="H65" s="63" t="str">
        <f aca="false">IF(OR(H53="",AND(H63="",$D$36="")),"",IF(IF(H63="",IF($D$36="",0,$D$36),H63)=0,"— (% rent removed)",IF(H64&lt;&gt;"",H64,IF($D$38&lt;&gt;"",$D$38,H53/IF(H63="",IF($D$36="",0,$D$36),H63)))))</f>
        <v/>
      </c>
    </row>
    <row r="66" customFormat="false" ht="15" hidden="false" customHeight="true" outlineLevel="0" collapsed="false">
      <c r="A66" s="22" t="s">
        <v>367</v>
      </c>
      <c r="B66" s="22"/>
      <c r="C66" s="22"/>
      <c r="D66" s="63" t="n">
        <f aca="false">IF(OR(D53="",AND(D63="",$D$36=""),D13=""),"",IF(IF(D63="",IF($D$36="",0,$D$36),D63)=0,0,MAX(0,D13-D65)*IF(D63="",IF($D$36="",0,$D$36),D63)))</f>
        <v>0</v>
      </c>
      <c r="E66" s="63" t="str">
        <f aca="false">IF(OR(E53="",AND(E63="",$D$36=""),D13=""),"",IF(IF(E63="",IF($D$36="",0,$D$36),E63)=0,0,MAX(0,D13-E65)*IF(E63="",IF($D$36="",0,$D$36),E63)))</f>
        <v/>
      </c>
      <c r="F66" s="63" t="str">
        <f aca="false">IF(OR(F53="",AND(F63="",$D$36=""),D13=""),"",IF(IF(F63="",IF($D$36="",0,$D$36),F63)=0,0,MAX(0,D13-F65)*IF(F63="",IF($D$36="",0,$D$36),F63)))</f>
        <v/>
      </c>
      <c r="G66" s="63" t="str">
        <f aca="false">IF(OR(G53="",AND(G63="",$D$36=""),D13=""),"",IF(IF(G63="",IF($D$36="",0,$D$36),G63)=0,0,MAX(0,D13-G65)*IF(G63="",IF($D$36="",0,$D$36),G63)))</f>
        <v/>
      </c>
      <c r="H66" s="63" t="str">
        <f aca="false">IF(OR(H53="",AND(H63="",$D$36=""),D13=""),"",IF(IF(H63="",IF($D$36="",0,$D$36),H63)=0,0,MAX(0,D13-H65)*IF(H63="",IF($D$36="",0,$D$36),H63)))</f>
        <v/>
      </c>
    </row>
    <row r="67" customFormat="false" ht="15" hidden="false" customHeight="true" outlineLevel="0" collapsed="false">
      <c r="A67" s="22" t="s">
        <v>368</v>
      </c>
      <c r="B67" s="22"/>
      <c r="C67" s="22"/>
      <c r="D67" s="63" t="n">
        <f aca="false">IF(OR(D53="",D66=""),"",D53+D66)</f>
        <v>90421</v>
      </c>
      <c r="E67" s="63" t="str">
        <f aca="false">IF(OR(E53="",E66=""),"",E53+E66)</f>
        <v/>
      </c>
      <c r="F67" s="63" t="str">
        <f aca="false">IF(OR(F53="",F66=""),"",F53+F66)</f>
        <v/>
      </c>
      <c r="G67" s="63" t="str">
        <f aca="false">IF(OR(G53="",G66=""),"",G53+G66)</f>
        <v/>
      </c>
      <c r="H67" s="63" t="str">
        <f aca="false">IF(OR(H53="",H66=""),"",H53+H66)</f>
        <v/>
      </c>
    </row>
    <row r="68" customFormat="false" ht="15" hidden="false" customHeight="true" outlineLevel="0" collapsed="false">
      <c r="A68" s="22" t="s">
        <v>369</v>
      </c>
      <c r="B68" s="22"/>
      <c r="C68" s="22"/>
      <c r="D68" s="62" t="n">
        <f aca="false">IF(OR(D67="",D13=""),"",D67/D13)</f>
        <v>0.0268152431791222</v>
      </c>
      <c r="E68" s="62" t="str">
        <f aca="false">IF(OR(E67="",D13=""),"",E67/D13)</f>
        <v/>
      </c>
      <c r="F68" s="62" t="str">
        <f aca="false">IF(OR(F67="",D13=""),"",F67/D13)</f>
        <v/>
      </c>
      <c r="G68" s="62" t="str">
        <f aca="false">IF(OR(G67="",D13=""),"",G67/D13)</f>
        <v/>
      </c>
      <c r="H68" s="62" t="str">
        <f aca="false">IF(OR(H67="",D13=""),"",H67/D13)</f>
        <v/>
      </c>
    </row>
    <row r="69" customFormat="false" ht="23.85" hidden="false" customHeight="true" outlineLevel="0" collapsed="false">
      <c r="A69" s="22" t="s">
        <v>370</v>
      </c>
      <c r="B69" s="22"/>
      <c r="C69" s="22"/>
      <c r="D69" s="64" t="n">
        <f aca="false">IF(D67="","",(854265.09-D67)/3367196.35)</f>
        <v>0.226848692681673</v>
      </c>
      <c r="E69" s="64" t="str">
        <f aca="false">IF(E67="","",(854265.09-E67)/3367196.35)</f>
        <v/>
      </c>
      <c r="F69" s="64" t="str">
        <f aca="false">IF(F67="","",(854265.09-F67)/3367196.35)</f>
        <v/>
      </c>
      <c r="G69" s="64" t="str">
        <f aca="false">IF(G67="","",(854265.09-G67)/3367196.35)</f>
        <v/>
      </c>
      <c r="H69" s="64" t="str">
        <f aca="false">IF(H67="","",(854265.09-H67)/3367196.35)</f>
        <v/>
      </c>
    </row>
    <row r="70" customFormat="false" ht="15" hidden="false" customHeight="true" outlineLevel="0" collapsed="false">
      <c r="A70" s="22" t="s">
        <v>371</v>
      </c>
      <c r="B70" s="22"/>
      <c r="C70" s="22"/>
      <c r="D70" s="63" t="n">
        <f aca="true">IF(OR(D53="",AND(D63="",$D$36=""),D13=""),"",IF(IF(D63="",IF($D$36="",0,$D$36),D63)=0,0,SUMPRODUCT(((D13*1.02^(ROW(INDIRECT("1:10"))-1))-(IF(D64&lt;&gt;"",D64,IF($D$38&lt;&gt;"",$D$38,(D53*(1+IF(D54="",0,D54))^ROUNDDOWN((ROW(INDIRECT("1:10"))-1)/IF(D55="",5,D55),0))/IF(D63="",IF($D$36="",0,$D$36),D63))))&gt;0)*((D13*1.02^(ROW(INDIRECT("1:10"))-1))-(IF(D64&lt;&gt;"",D64,IF($D$38&lt;&gt;"",$D$38,(D53*(1+IF(D54="",0,D54))^ROUNDDOWN((ROW(INDIRECT("1:10"))-1)/IF(D55="",5,D55),0))/IF(D63="",IF($D$36="",0,$D$36),D63))))))*IF(D63="",IF($D$36="",0,$D$36),D63)))</f>
        <v>0</v>
      </c>
      <c r="E70" s="63" t="str">
        <f aca="true">IF(OR(E53="",AND(E63="",$D$36=""),D13=""),"",IF(IF(E63="",IF($D$36="",0,$D$36),E63)=0,0,SUMPRODUCT(((D13*1.02^(ROW(INDIRECT("1:10"))-1))-(IF(E64&lt;&gt;"",E64,IF($D$38&lt;&gt;"",$D$38,(E53*(1+IF(E54="",0,E54))^ROUNDDOWN((ROW(INDIRECT("1:10"))-1)/IF(E55="",5,E55),0))/IF(E63="",IF($D$36="",0,$D$36),E63))))&gt;0)*((D13*1.02^(ROW(INDIRECT("1:10"))-1))-(IF(E64&lt;&gt;"",E64,IF($D$38&lt;&gt;"",$D$38,(E53*(1+IF(E54="",0,E54))^ROUNDDOWN((ROW(INDIRECT("1:10"))-1)/IF(E55="",5,E55),0))/IF(E63="",IF($D$36="",0,$D$36),E63))))))*IF(E63="",IF($D$36="",0,$D$36),E63)))</f>
        <v/>
      </c>
      <c r="F70" s="63" t="str">
        <f aca="true">IF(OR(F53="",AND(F63="",$D$36=""),D13=""),"",IF(IF(F63="",IF($D$36="",0,$D$36),F63)=0,0,SUMPRODUCT(((D13*1.02^(ROW(INDIRECT("1:10"))-1))-(IF(F64&lt;&gt;"",F64,IF($D$38&lt;&gt;"",$D$38,(F53*(1+IF(F54="",0,F54))^ROUNDDOWN((ROW(INDIRECT("1:10"))-1)/IF(F55="",5,F55),0))/IF(F63="",IF($D$36="",0,$D$36),F63))))&gt;0)*((D13*1.02^(ROW(INDIRECT("1:10"))-1))-(IF(F64&lt;&gt;"",F64,IF($D$38&lt;&gt;"",$D$38,(F53*(1+IF(F54="",0,F54))^ROUNDDOWN((ROW(INDIRECT("1:10"))-1)/IF(F55="",5,F55),0))/IF(F63="",IF($D$36="",0,$D$36),F63))))))*IF(F63="",IF($D$36="",0,$D$36),F63)))</f>
        <v/>
      </c>
      <c r="G70" s="63" t="str">
        <f aca="true">IF(OR(G53="",AND(G63="",$D$36=""),D13=""),"",IF(IF(G63="",IF($D$36="",0,$D$36),G63)=0,0,SUMPRODUCT(((D13*1.02^(ROW(INDIRECT("1:10"))-1))-(IF(G64&lt;&gt;"",G64,IF($D$38&lt;&gt;"",$D$38,(G53*(1+IF(G54="",0,G54))^ROUNDDOWN((ROW(INDIRECT("1:10"))-1)/IF(G55="",5,G55),0))/IF(G63="",IF($D$36="",0,$D$36),G63))))&gt;0)*((D13*1.02^(ROW(INDIRECT("1:10"))-1))-(IF(G64&lt;&gt;"",G64,IF($D$38&lt;&gt;"",$D$38,(G53*(1+IF(G54="",0,G54))^ROUNDDOWN((ROW(INDIRECT("1:10"))-1)/IF(G55="",5,G55),0))/IF(G63="",IF($D$36="",0,$D$36),G63))))))*IF(G63="",IF($D$36="",0,$D$36),G63)))</f>
        <v/>
      </c>
      <c r="H70" s="63" t="str">
        <f aca="true">IF(OR(H53="",AND(H63="",$D$36=""),D13=""),"",IF(IF(H63="",IF($D$36="",0,$D$36),H63)=0,0,SUMPRODUCT(((D13*1.02^(ROW(INDIRECT("1:10"))-1))-(IF(H64&lt;&gt;"",H64,IF($D$38&lt;&gt;"",$D$38,(H53*(1+IF(H54="",0,H54))^ROUNDDOWN((ROW(INDIRECT("1:10"))-1)/IF(H55="",5,H55),0))/IF(H63="",IF($D$36="",0,$D$36),H63))))&gt;0)*((D13*1.02^(ROW(INDIRECT("1:10"))-1))-(IF(H64&lt;&gt;"",H64,IF($D$38&lt;&gt;"",$D$38,(H53*(1+IF(H54="",0,H54))^ROUNDDOWN((ROW(INDIRECT("1:10"))-1)/IF(H55="",5,H55),0))/IF(H63="",IF($D$36="",0,$D$36),H63))))))*IF(H63="",IF($D$36="",0,$D$36),H63)))</f>
        <v/>
      </c>
    </row>
    <row r="71" customFormat="false" ht="15" hidden="false" customHeight="true" outlineLevel="0" collapsed="false">
      <c r="A71" s="22" t="s">
        <v>372</v>
      </c>
      <c r="B71" s="22"/>
      <c r="C71" s="22"/>
      <c r="D71" s="63" t="n">
        <f aca="false">IF(OR(D61="",D70=""),"",D61+D70)</f>
        <v>913252.1</v>
      </c>
      <c r="E71" s="63" t="str">
        <f aca="false">IF(OR(E61="",E70=""),"",E61+E70)</f>
        <v/>
      </c>
      <c r="F71" s="63" t="str">
        <f aca="false">IF(OR(F61="",F70=""),"",F61+F70)</f>
        <v/>
      </c>
      <c r="G71" s="63" t="str">
        <f aca="false">IF(OR(G61="",G70=""),"",G61+G70)</f>
        <v/>
      </c>
      <c r="H71" s="63" t="str">
        <f aca="false">IF(OR(H61="",H70=""),"",H61+H70)</f>
        <v/>
      </c>
    </row>
    <row r="72" customFormat="false" ht="23.85" hidden="false" customHeight="true" outlineLevel="0" collapsed="false">
      <c r="A72" s="22" t="s">
        <v>373</v>
      </c>
      <c r="B72" s="22"/>
      <c r="C72" s="22"/>
      <c r="D72" s="65" t="n">
        <f aca="true">IF(D53="","",SUMPRODUCT(D53*(1+IF(D54="",0,D54))^ROUNDDOWN((ROW(INDIRECT("1:"&amp;IF(D56="",10,D56)))-1)/IF(D55="",5,D55),0))+IF(OR(D13="",IF(D63="",IF($D$36="",0,$D$36),D63)=0),0,SUMPRODUCT(((D13*1.02^(ROW(INDIRECT("1:"&amp;IF(D56="",10,D56)))-1))-(IF(D64&lt;&gt;"",D64,IF($D$38&lt;&gt;"",$D$38,(D53*(1+IF(D54="",0,D54))^ROUNDDOWN((ROW(INDIRECT("1:"&amp;IF(D56="",10,D56)))-1)/IF(D55="",5,D55),0))/IF(D63="",IF($D$36="",0,$D$36),D63))))&gt;0)*((D13*1.02^(ROW(INDIRECT("1:"&amp;IF(D56="",10,D56)))-1))-(IF(D64&lt;&gt;"",D64,IF($D$38&lt;&gt;"",$D$38,(D53*(1+IF(D54="",0,D54))^ROUNDDOWN((ROW(INDIRECT("1:"&amp;IF(D56="",10,D56)))-1)/IF(D55="",5,D55),0))/IF(D63="",IF($D$36="",0,$D$36),D63))))))*IF(D63="",IF($D$36="",0,$D$36),D63)))</f>
        <v>1863399.58484</v>
      </c>
      <c r="E72" s="65" t="str">
        <f aca="true">IF(E53="","",SUMPRODUCT(E53*(1+IF(E54="",0,E54))^ROUNDDOWN((ROW(INDIRECT("1:"&amp;IF(E56="",10,E56)))-1)/IF(E55="",5,E55),0))+IF(OR(D13="",IF(E63="",IF($D$36="",0,$D$36),E63)=0),0,SUMPRODUCT(((D13*1.02^(ROW(INDIRECT("1:"&amp;IF(E56="",10,E56)))-1))-(IF(E64&lt;&gt;"",E64,IF($D$38&lt;&gt;"",$D$38,(E53*(1+IF(E54="",0,E54))^ROUNDDOWN((ROW(INDIRECT("1:"&amp;IF(E56="",10,E56)))-1)/IF(E55="",5,E55),0))/IF(E63="",IF($D$36="",0,$D$36),E63))))&gt;0)*((D13*1.02^(ROW(INDIRECT("1:"&amp;IF(E56="",10,E56)))-1))-(IF(E64&lt;&gt;"",E64,IF($D$38&lt;&gt;"",$D$38,(E53*(1+IF(E54="",0,E54))^ROUNDDOWN((ROW(INDIRECT("1:"&amp;IF(E56="",10,E56)))-1)/IF(E55="",5,E55),0))/IF(E63="",IF($D$36="",0,$D$36),E63))))))*IF(E63="",IF($D$36="",0,$D$36),E63)))</f>
        <v/>
      </c>
      <c r="F72" s="65" t="str">
        <f aca="true">IF(F53="","",SUMPRODUCT(F53*(1+IF(F54="",0,F54))^ROUNDDOWN((ROW(INDIRECT("1:"&amp;IF(F56="",10,F56)))-1)/IF(F55="",5,F55),0))+IF(OR(D13="",IF(F63="",IF($D$36="",0,$D$36),F63)=0),0,SUMPRODUCT(((D13*1.02^(ROW(INDIRECT("1:"&amp;IF(F56="",10,F56)))-1))-(IF(F64&lt;&gt;"",F64,IF($D$38&lt;&gt;"",$D$38,(F53*(1+IF(F54="",0,F54))^ROUNDDOWN((ROW(INDIRECT("1:"&amp;IF(F56="",10,F56)))-1)/IF(F55="",5,F55),0))/IF(F63="",IF($D$36="",0,$D$36),F63))))&gt;0)*((D13*1.02^(ROW(INDIRECT("1:"&amp;IF(F56="",10,F56)))-1))-(IF(F64&lt;&gt;"",F64,IF($D$38&lt;&gt;"",$D$38,(F53*(1+IF(F54="",0,F54))^ROUNDDOWN((ROW(INDIRECT("1:"&amp;IF(F56="",10,F56)))-1)/IF(F55="",5,F55),0))/IF(F63="",IF($D$36="",0,$D$36),F63))))))*IF(F63="",IF($D$36="",0,$D$36),F63)))</f>
        <v/>
      </c>
      <c r="G72" s="65" t="str">
        <f aca="true">IF(G53="","",SUMPRODUCT(G53*(1+IF(G54="",0,G54))^ROUNDDOWN((ROW(INDIRECT("1:"&amp;IF(G56="",10,G56)))-1)/IF(G55="",5,G55),0))+IF(OR(D13="",IF(G63="",IF($D$36="",0,$D$36),G63)=0),0,SUMPRODUCT(((D13*1.02^(ROW(INDIRECT("1:"&amp;IF(G56="",10,G56)))-1))-(IF(G64&lt;&gt;"",G64,IF($D$38&lt;&gt;"",$D$38,(G53*(1+IF(G54="",0,G54))^ROUNDDOWN((ROW(INDIRECT("1:"&amp;IF(G56="",10,G56)))-1)/IF(G55="",5,G55),0))/IF(G63="",IF($D$36="",0,$D$36),G63))))&gt;0)*((D13*1.02^(ROW(INDIRECT("1:"&amp;IF(G56="",10,G56)))-1))-(IF(G64&lt;&gt;"",G64,IF($D$38&lt;&gt;"",$D$38,(G53*(1+IF(G54="",0,G54))^ROUNDDOWN((ROW(INDIRECT("1:"&amp;IF(G56="",10,G56)))-1)/IF(G55="",5,G55),0))/IF(G63="",IF($D$36="",0,$D$36),G63))))))*IF(G63="",IF($D$36="",0,$D$36),G63)))</f>
        <v/>
      </c>
      <c r="H72" s="65" t="str">
        <f aca="true">IF(H53="","",SUMPRODUCT(H53*(1+IF(H54="",0,H54))^ROUNDDOWN((ROW(INDIRECT("1:"&amp;IF(H56="",10,H56)))-1)/IF(H55="",5,H55),0))+IF(OR(D13="",IF(H63="",IF($D$36="",0,$D$36),H63)=0),0,SUMPRODUCT(((D13*1.02^(ROW(INDIRECT("1:"&amp;IF(H56="",10,H56)))-1))-(IF(H64&lt;&gt;"",H64,IF($D$38&lt;&gt;"",$D$38,(H53*(1+IF(H54="",0,H54))^ROUNDDOWN((ROW(INDIRECT("1:"&amp;IF(H56="",10,H56)))-1)/IF(H55="",5,H55),0))/IF(H63="",IF($D$36="",0,$D$36),H63))))&gt;0)*((D13*1.02^(ROW(INDIRECT("1:"&amp;IF(H56="",10,H56)))-1))-(IF(H64&lt;&gt;"",H64,IF($D$38&lt;&gt;"",$D$38,(H53*(1+IF(H54="",0,H54))^ROUNDDOWN((ROW(INDIRECT("1:"&amp;IF(H56="",10,H56)))-1)/IF(H55="",5,H55),0))/IF(H63="",IF($D$36="",0,$D$36),H63))))))*IF(H63="",IF($D$36="",0,$D$36),H63)))</f>
        <v/>
      </c>
    </row>
    <row r="73" customFormat="false" ht="15" hidden="false" customHeight="true" outlineLevel="0" collapsed="false">
      <c r="A73" s="22" t="s">
        <v>374</v>
      </c>
      <c r="B73" s="22"/>
      <c r="C73" s="22"/>
      <c r="D73" s="62" t="n">
        <f aca="false">IF(D53="","",IF(D54="",0,(1+D54)^(5/IF(D55="",5,D55))-1))</f>
        <v>0.02</v>
      </c>
      <c r="E73" s="62" t="str">
        <f aca="false">IF(E53="","",IF(E54="",0,(1+E54)^(5/IF(E55="",5,E55))-1))</f>
        <v/>
      </c>
      <c r="F73" s="62" t="str">
        <f aca="false">IF(F53="","",IF(F54="",0,(1+F54)^(5/IF(F55="",5,F55))-1))</f>
        <v/>
      </c>
      <c r="G73" s="62" t="str">
        <f aca="false">IF(G53="","",IF(G54="",0,(1+G54)^(5/IF(G55="",5,G55))-1))</f>
        <v/>
      </c>
      <c r="H73" s="62" t="str">
        <f aca="false">IF(H53="","",IF(H54="",0,(1+H54)^(5/IF(H55="",5,H55))-1))</f>
        <v/>
      </c>
    </row>
    <row r="74" customFormat="false" ht="43.25" hidden="false" customHeight="true" outlineLevel="0" collapsed="false">
      <c r="A74" s="22" t="s">
        <v>375</v>
      </c>
      <c r="B74" s="22"/>
      <c r="C74" s="22"/>
      <c r="D74" s="66" t="str">
        <f aca="false">IF(D73="","",IF(D73&lt;=0,"REDUCTION / FLAT — ladder steps 1-2 (best)",IF(D73&lt;=0.08,"OK — within 8%/5-yr in-house authority (ladder step 3)","ABOVE 8%/5-yr — CEO SIGN-OFF REQUIRED (Rob 8/5/26)")))</f>
        <v>OK — within 8%/5-yr in-house authority (ladder step 3)</v>
      </c>
      <c r="E74" s="66" t="str">
        <f aca="false">IF(E73="","",IF(E73&lt;=0,"REDUCTION / FLAT — ladder steps 1-2 (best)",IF(E73&lt;=0.08,"OK — within 8%/5-yr in-house authority (ladder step 3)","ABOVE 8%/5-yr — CEO SIGN-OFF REQUIRED (Rob 8/5/26)")))</f>
        <v/>
      </c>
      <c r="F74" s="66" t="str">
        <f aca="false">IF(F73="","",IF(F73&lt;=0,"REDUCTION / FLAT — ladder steps 1-2 (best)",IF(F73&lt;=0.08,"OK — within 8%/5-yr in-house authority (ladder step 3)","ABOVE 8%/5-yr — CEO SIGN-OFF REQUIRED (Rob 8/5/26)")))</f>
        <v/>
      </c>
      <c r="G74" s="66" t="str">
        <f aca="false">IF(G73="","",IF(G73&lt;=0,"REDUCTION / FLAT — ladder steps 1-2 (best)",IF(G73&lt;=0.08,"OK — within 8%/5-yr in-house authority (ladder step 3)","ABOVE 8%/5-yr — CEO SIGN-OFF REQUIRED (Rob 8/5/26)")))</f>
        <v/>
      </c>
      <c r="H74" s="66" t="str">
        <f aca="false">IF(H73="","",IF(H73&lt;=0,"REDUCTION / FLAT — ladder steps 1-2 (best)",IF(H73&lt;=0.08,"OK — within 8%/5-yr in-house authority (ladder step 3)","ABOVE 8%/5-yr — CEO SIGN-OFF REQUIRED (Rob 8/5/26)")))</f>
        <v/>
      </c>
    </row>
    <row r="75" customFormat="false" ht="23.85" hidden="false" customHeight="true" outlineLevel="0" collapsed="false">
      <c r="A75" s="22" t="s">
        <v>376</v>
      </c>
      <c r="B75" s="22"/>
      <c r="C75" s="22"/>
      <c r="D75" s="62" t="n">
        <f aca="false">IF(OR(D53="",D13=""),"",((D53*(1+IF(D54="",0,D54))^ROUNDDOWN(9/IF(D55="",5,D55),0))+IF(IF(D63="",IF($D$36="",0,$D$36),D63)=0,0,MAX(0,D13*1.02^9-IF(D64&lt;&gt;"",D64,IF($D$38&lt;&gt;"",$D$38,(D53*(1+IF(D54="",0,D54))^ROUNDDOWN(9/IF(D55="",5,D55),0))/IF(D63="",IF($D$36="",0,$D$36),D63))))*IF(D63="",IF($D$36="",0,$D$36),D63)))/(D13*1.02^9))</f>
        <v>0.0228865518545021</v>
      </c>
      <c r="E75" s="62" t="str">
        <f aca="false">IF(OR(E53="",D13=""),"",((E53*(1+IF(E54="",0,E54))^ROUNDDOWN(9/IF(E55="",5,E55),0))+IF(IF(E63="",IF($D$36="",0,$D$36),E63)=0,0,MAX(0,D13*1.02^9-IF(E64&lt;&gt;"",E64,IF($D$38&lt;&gt;"",$D$38,(E53*(1+IF(E54="",0,E54))^ROUNDDOWN(9/IF(E55="",5,E55),0))/IF(E63="",IF($D$36="",0,$D$36),E63))))*IF(E63="",IF($D$36="",0,$D$36),E63)))/(D13*1.02^9))</f>
        <v/>
      </c>
      <c r="F75" s="62" t="str">
        <f aca="false">IF(OR(F53="",D13=""),"",((F53*(1+IF(F54="",0,F54))^ROUNDDOWN(9/IF(F55="",5,F55),0))+IF(IF(F63="",IF($D$36="",0,$D$36),F63)=0,0,MAX(0,D13*1.02^9-IF(F64&lt;&gt;"",F64,IF($D$38&lt;&gt;"",$D$38,(F53*(1+IF(F54="",0,F54))^ROUNDDOWN(9/IF(F55="",5,F55),0))/IF(F63="",IF($D$36="",0,$D$36),F63))))*IF(F63="",IF($D$36="",0,$D$36),F63)))/(D13*1.02^9))</f>
        <v/>
      </c>
      <c r="G75" s="62" t="str">
        <f aca="false">IF(OR(G53="",D13=""),"",((G53*(1+IF(G54="",0,G54))^ROUNDDOWN(9/IF(G55="",5,G55),0))+IF(IF(G63="",IF($D$36="",0,$D$36),G63)=0,0,MAX(0,D13*1.02^9-IF(G64&lt;&gt;"",G64,IF($D$38&lt;&gt;"",$D$38,(G53*(1+IF(G54="",0,G54))^ROUNDDOWN(9/IF(G55="",5,G55),0))/IF(G63="",IF($D$36="",0,$D$36),G63))))*IF(G63="",IF($D$36="",0,$D$36),G63)))/(D13*1.02^9))</f>
        <v/>
      </c>
      <c r="H75" s="62" t="str">
        <f aca="false">IF(OR(H53="",D13=""),"",((H53*(1+IF(H54="",0,H54))^ROUNDDOWN(9/IF(H55="",5,H55),0))+IF(IF(H63="",IF($D$36="",0,$D$36),H63)=0,0,MAX(0,D13*1.02^9-IF(H64&lt;&gt;"",H64,IF($D$38&lt;&gt;"",$D$38,(H53*(1+IF(H54="",0,H54))^ROUNDDOWN(9/IF(H55="",5,H55),0))/IF(H63="",IF($D$36="",0,$D$36),H63))))*IF(H63="",IF($D$36="",0,$D$36),H63)))/(D13*1.02^9))</f>
        <v/>
      </c>
    </row>
    <row r="76" customFormat="false" ht="23.85" hidden="false" customHeight="true" outlineLevel="0" collapsed="false">
      <c r="A76" s="22" t="s">
        <v>377</v>
      </c>
      <c r="B76" s="22"/>
      <c r="C76" s="22"/>
      <c r="D76" s="66" t="str">
        <f aca="false">IF(OR(D75="",D68=""),"",IF(MAX(D68,D75)&gt;=0.08,"HARD STOP — occupancy at/above 8% of sales: STOP, CEO sign-off before responding",IF(MAX(D68,D75)&gt;0.07,"Above Kim 7% alert — approaching 8% hard stop","OK — under 7% alert")))</f>
        <v>OK — under 7% alert</v>
      </c>
      <c r="E76" s="66" t="str">
        <f aca="false">IF(OR(E75="",E68=""),"",IF(MAX(E68,E75)&gt;=0.08,"HARD STOP — occupancy at/above 8% of sales: STOP, CEO sign-off before responding",IF(MAX(E68,E75)&gt;0.07,"Above Kim 7% alert — approaching 8% hard stop","OK — under 7% alert")))</f>
        <v/>
      </c>
      <c r="F76" s="66" t="str">
        <f aca="false">IF(OR(F75="",F68=""),"",IF(MAX(F68,F75)&gt;=0.08,"HARD STOP — occupancy at/above 8% of sales: STOP, CEO sign-off before responding",IF(MAX(F68,F75)&gt;0.07,"Above Kim 7% alert — approaching 8% hard stop","OK — under 7% alert")))</f>
        <v/>
      </c>
      <c r="G76" s="66" t="str">
        <f aca="false">IF(OR(G75="",G68=""),"",IF(MAX(G68,G75)&gt;=0.08,"HARD STOP — occupancy at/above 8% of sales: STOP, CEO sign-off before responding",IF(MAX(G68,G75)&gt;0.07,"Above Kim 7% alert — approaching 8% hard stop","OK — under 7% alert")))</f>
        <v/>
      </c>
      <c r="H76" s="66" t="str">
        <f aca="false">IF(OR(H75="",H68=""),"",IF(MAX(H68,H75)&gt;=0.08,"HARD STOP — occupancy at/above 8% of sales: STOP, CEO sign-off before responding",IF(MAX(H68,H75)&gt;0.07,"Above Kim 7% alert — approaching 8% hard stop","OK — under 7% alert")))</f>
        <v/>
      </c>
    </row>
    <row r="78" customFormat="false" ht="22.35" hidden="false" customHeight="true" outlineLevel="0" collapsed="false">
      <c r="A78" s="68" t="s">
        <v>379</v>
      </c>
      <c r="B78" s="68"/>
      <c r="C78" s="68"/>
      <c r="D78" s="68"/>
      <c r="E78" s="68"/>
      <c r="F78" s="68"/>
      <c r="G78" s="68"/>
      <c r="H78" s="68"/>
      <c r="I78" s="68"/>
      <c r="J78" s="68"/>
    </row>
    <row r="80" customFormat="false" ht="15" hidden="false" customHeight="false" outlineLevel="0" collapsed="false">
      <c r="A80" s="69" t="s">
        <v>380</v>
      </c>
      <c r="B80" s="69"/>
      <c r="C80" s="69"/>
      <c r="D80" s="69"/>
      <c r="E80" s="69"/>
      <c r="F80" s="69"/>
      <c r="G80" s="69"/>
      <c r="H80" s="69"/>
      <c r="I80" s="69"/>
      <c r="J80" s="69"/>
    </row>
    <row r="83" customFormat="false" ht="15" hidden="false" customHeight="false" outlineLevel="0" collapsed="false">
      <c r="A83" s="25" t="s">
        <v>381</v>
      </c>
    </row>
    <row r="84" customFormat="false" ht="15" hidden="false" customHeight="false" outlineLevel="0" collapsed="false">
      <c r="A84" s="69" t="s">
        <v>382</v>
      </c>
      <c r="B84" s="69"/>
      <c r="C84" s="69"/>
      <c r="D84" s="69"/>
      <c r="E84" s="69"/>
      <c r="F84" s="69"/>
      <c r="G84" s="69"/>
      <c r="H84" s="69"/>
      <c r="I84" s="69"/>
      <c r="J84" s="69"/>
      <c r="K84" s="69"/>
      <c r="L84" s="69"/>
      <c r="M84" s="69"/>
      <c r="N84" s="69"/>
      <c r="O84" s="69"/>
      <c r="P84" s="69"/>
      <c r="Q84" s="69"/>
      <c r="R84" s="69"/>
      <c r="S84" s="69"/>
      <c r="T84" s="69"/>
    </row>
    <row r="85" customFormat="false" ht="15" hidden="false" customHeight="true" outlineLevel="0" collapsed="false">
      <c r="A85" s="70" t="s">
        <v>383</v>
      </c>
      <c r="B85" s="70" t="s">
        <v>384</v>
      </c>
      <c r="C85" s="71" t="s">
        <v>385</v>
      </c>
      <c r="D85" s="71"/>
      <c r="E85" s="71"/>
      <c r="F85" s="71" t="s">
        <v>386</v>
      </c>
      <c r="G85" s="71"/>
      <c r="H85" s="71"/>
      <c r="I85" s="71" t="s">
        <v>387</v>
      </c>
      <c r="J85" s="71"/>
      <c r="K85" s="71"/>
      <c r="L85" s="71" t="s">
        <v>388</v>
      </c>
      <c r="M85" s="71"/>
      <c r="N85" s="71"/>
      <c r="O85" s="71" t="s">
        <v>389</v>
      </c>
      <c r="P85" s="71"/>
      <c r="Q85" s="71"/>
      <c r="R85" s="72" t="s">
        <v>390</v>
      </c>
      <c r="S85" s="72"/>
      <c r="T85" s="72"/>
    </row>
    <row r="86" customFormat="false" ht="15" hidden="false" customHeight="false" outlineLevel="0" collapsed="false">
      <c r="A86" s="73"/>
      <c r="B86" s="73"/>
      <c r="C86" s="73" t="s">
        <v>391</v>
      </c>
      <c r="D86" s="73" t="s">
        <v>392</v>
      </c>
      <c r="E86" s="73" t="s">
        <v>393</v>
      </c>
      <c r="F86" s="73" t="s">
        <v>391</v>
      </c>
      <c r="G86" s="73" t="s">
        <v>392</v>
      </c>
      <c r="H86" s="73" t="s">
        <v>393</v>
      </c>
      <c r="I86" s="73" t="s">
        <v>391</v>
      </c>
      <c r="J86" s="73" t="s">
        <v>392</v>
      </c>
      <c r="K86" s="73" t="s">
        <v>393</v>
      </c>
      <c r="L86" s="73" t="s">
        <v>391</v>
      </c>
      <c r="M86" s="73" t="s">
        <v>392</v>
      </c>
      <c r="N86" s="73" t="s">
        <v>393</v>
      </c>
      <c r="O86" s="73" t="s">
        <v>391</v>
      </c>
      <c r="P86" s="73" t="s">
        <v>392</v>
      </c>
      <c r="Q86" s="73" t="s">
        <v>393</v>
      </c>
      <c r="R86" s="73" t="s">
        <v>391</v>
      </c>
      <c r="S86" s="73" t="s">
        <v>392</v>
      </c>
      <c r="T86" s="73" t="s">
        <v>393</v>
      </c>
    </row>
    <row r="87" customFormat="false" ht="15" hidden="false" customHeight="false" outlineLevel="0" collapsed="false">
      <c r="A87" s="74" t="n">
        <v>1</v>
      </c>
      <c r="B87" s="75" t="n">
        <v>3372000</v>
      </c>
      <c r="C87" s="76" t="n">
        <v>90421</v>
      </c>
      <c r="D87" s="76" t="n">
        <v>0</v>
      </c>
      <c r="E87" s="76" t="n">
        <v>90421</v>
      </c>
      <c r="F87" s="75" t="n">
        <f aca="false">IF(D53="","",IF(1&gt;IF(D56="",10,D56),"",D53*(1+IF(D54="",0,D54))^ROUNDDOWN((1-1)/IF(D55="",5,D55),0)))</f>
        <v>90421</v>
      </c>
      <c r="G87" s="75" t="n">
        <f aca="false">IF(F87="","",IF((IF(D63="",IF($D$36="",0,$D$36),D63))=0,0,MAX(0,3372000-(IF(D64&lt;&gt;"",D64,IF($D$38&lt;&gt;"",$D$38,IF((IF(D63="",IF($D$36="",0,$D$36),D63))=0,0,D53/(IF(D63="",IF($D$36="",0,$D$36),D63)))))))*(IF(D63="",IF($D$36="",0,$D$36),D63))))</f>
        <v>0</v>
      </c>
      <c r="H87" s="75" t="n">
        <f aca="false">IF(F87="","",F87+G87)</f>
        <v>90421</v>
      </c>
      <c r="I87" s="75" t="str">
        <f aca="false">IF(E53="","",IF(1&gt;IF(E56="",10,E56),"",E53*(1+IF(E54="",0,E54))^ROUNDDOWN((1-1)/IF(E55="",5,E55),0)))</f>
        <v/>
      </c>
      <c r="J87" s="75" t="str">
        <f aca="false">IF(I87="","",IF((IF(E63="",IF($D$36="",0,$D$36),E63))=0,0,MAX(0,3372000-(IF(E64&lt;&gt;"",E64,IF($D$38&lt;&gt;"",$D$38,IF((IF(E63="",IF($D$36="",0,$D$36),E63))=0,0,E53/(IF(E63="",IF($D$36="",0,$D$36),E63)))))))*(IF(E63="",IF($D$36="",0,$D$36),E63))))</f>
        <v/>
      </c>
      <c r="K87" s="75" t="str">
        <f aca="false">IF(I87="","",I87+J87)</f>
        <v/>
      </c>
      <c r="L87" s="75" t="str">
        <f aca="false">IF(F53="","",IF(1&gt;IF(F56="",10,F56),"",F53*(1+IF(F54="",0,F54))^ROUNDDOWN((1-1)/IF(F55="",5,F55),0)))</f>
        <v/>
      </c>
      <c r="M87" s="75" t="str">
        <f aca="false">IF(L87="","",IF((IF(F63="",IF($D$36="",0,$D$36),F63))=0,0,MAX(0,3372000-(IF(F64&lt;&gt;"",F64,IF($D$38&lt;&gt;"",$D$38,IF((IF(F63="",IF($D$36="",0,$D$36),F63))=0,0,F53/(IF(F63="",IF($D$36="",0,$D$36),F63)))))))*(IF(F63="",IF($D$36="",0,$D$36),F63))))</f>
        <v/>
      </c>
      <c r="N87" s="75" t="str">
        <f aca="false">IF(L87="","",L87+M87)</f>
        <v/>
      </c>
      <c r="O87" s="75" t="str">
        <f aca="false">IF(G53="","",IF(1&gt;IF(G56="",10,G56),"",G53*(1+IF(G54="",0,G54))^ROUNDDOWN((1-1)/IF(G55="",5,G55),0)))</f>
        <v/>
      </c>
      <c r="P87" s="75" t="str">
        <f aca="false">IF(O87="","",IF((IF(G63="",IF($D$36="",0,$D$36),G63))=0,0,MAX(0,3372000-(IF(G64&lt;&gt;"",G64,IF($D$38&lt;&gt;"",$D$38,IF((IF(G63="",IF($D$36="",0,$D$36),G63))=0,0,G53/(IF(G63="",IF($D$36="",0,$D$36),G63)))))))*(IF(G63="",IF($D$36="",0,$D$36),G63))))</f>
        <v/>
      </c>
      <c r="Q87" s="75" t="str">
        <f aca="false">IF(O87="","",O87+P87)</f>
        <v/>
      </c>
      <c r="R87" s="75" t="str">
        <f aca="false">IF(H53="","",IF(1&gt;IF(H56="",10,H56),"",H53*(1+IF(H54="",0,H54))^ROUNDDOWN((1-1)/IF(H55="",5,H55),0)))</f>
        <v/>
      </c>
      <c r="S87" s="75" t="str">
        <f aca="false">IF(R87="","",IF((IF(H63="",IF($D$36="",0,$D$36),H63))=0,0,MAX(0,3372000-(IF(H64&lt;&gt;"",H64,IF($D$38&lt;&gt;"",$D$38,IF((IF(H63="",IF($D$36="",0,$D$36),H63))=0,0,H53/(IF(H63="",IF($D$36="",0,$D$36),H63)))))))*(IF(H63="",IF($D$36="",0,$D$36),H63))))</f>
        <v/>
      </c>
      <c r="T87" s="75" t="str">
        <f aca="false">IF(R87="","",R87+S87)</f>
        <v/>
      </c>
    </row>
    <row r="88" customFormat="false" ht="15" hidden="false" customHeight="false" outlineLevel="0" collapsed="false">
      <c r="A88" s="74" t="n">
        <v>2</v>
      </c>
      <c r="B88" s="75" t="n">
        <v>3439440</v>
      </c>
      <c r="C88" s="76" t="n">
        <v>90421</v>
      </c>
      <c r="D88" s="76" t="n">
        <v>0</v>
      </c>
      <c r="E88" s="76" t="n">
        <v>90421</v>
      </c>
      <c r="F88" s="75" t="n">
        <f aca="false">IF(D53="","",IF(2&gt;IF(D56="",10,D56),"",D53*(1+IF(D54="",0,D54))^ROUNDDOWN((2-1)/IF(D55="",5,D55),0)))</f>
        <v>90421</v>
      </c>
      <c r="G88" s="75" t="n">
        <f aca="false">IF(F88="","",IF((IF(D63="",IF($D$36="",0,$D$36),D63))=0,0,MAX(0,3439440-(IF(D64&lt;&gt;"",D64,IF($D$38&lt;&gt;"",$D$38,IF((IF(D63="",IF($D$36="",0,$D$36),D63))=0,0,D53/(IF(D63="",IF($D$36="",0,$D$36),D63)))))))*(IF(D63="",IF($D$36="",0,$D$36),D63))))</f>
        <v>0</v>
      </c>
      <c r="H88" s="75" t="n">
        <f aca="false">IF(F88="","",F88+G88)</f>
        <v>90421</v>
      </c>
      <c r="I88" s="75" t="str">
        <f aca="false">IF(E53="","",IF(2&gt;IF(E56="",10,E56),"",E53*(1+IF(E54="",0,E54))^ROUNDDOWN((2-1)/IF(E55="",5,E55),0)))</f>
        <v/>
      </c>
      <c r="J88" s="75" t="str">
        <f aca="false">IF(I88="","",IF((IF(E63="",IF($D$36="",0,$D$36),E63))=0,0,MAX(0,3439440-(IF(E64&lt;&gt;"",E64,IF($D$38&lt;&gt;"",$D$38,IF((IF(E63="",IF($D$36="",0,$D$36),E63))=0,0,E53/(IF(E63="",IF($D$36="",0,$D$36),E63)))))))*(IF(E63="",IF($D$36="",0,$D$36),E63))))</f>
        <v/>
      </c>
      <c r="K88" s="75" t="str">
        <f aca="false">IF(I88="","",I88+J88)</f>
        <v/>
      </c>
      <c r="L88" s="75" t="str">
        <f aca="false">IF(F53="","",IF(2&gt;IF(F56="",10,F56),"",F53*(1+IF(F54="",0,F54))^ROUNDDOWN((2-1)/IF(F55="",5,F55),0)))</f>
        <v/>
      </c>
      <c r="M88" s="75" t="str">
        <f aca="false">IF(L88="","",IF((IF(F63="",IF($D$36="",0,$D$36),F63))=0,0,MAX(0,3439440-(IF(F64&lt;&gt;"",F64,IF($D$38&lt;&gt;"",$D$38,IF((IF(F63="",IF($D$36="",0,$D$36),F63))=0,0,F53/(IF(F63="",IF($D$36="",0,$D$36),F63)))))))*(IF(F63="",IF($D$36="",0,$D$36),F63))))</f>
        <v/>
      </c>
      <c r="N88" s="75" t="str">
        <f aca="false">IF(L88="","",L88+M88)</f>
        <v/>
      </c>
      <c r="O88" s="75" t="str">
        <f aca="false">IF(G53="","",IF(2&gt;IF(G56="",10,G56),"",G53*(1+IF(G54="",0,G54))^ROUNDDOWN((2-1)/IF(G55="",5,G55),0)))</f>
        <v/>
      </c>
      <c r="P88" s="75" t="str">
        <f aca="false">IF(O88="","",IF((IF(G63="",IF($D$36="",0,$D$36),G63))=0,0,MAX(0,3439440-(IF(G64&lt;&gt;"",G64,IF($D$38&lt;&gt;"",$D$38,IF((IF(G63="",IF($D$36="",0,$D$36),G63))=0,0,G53/(IF(G63="",IF($D$36="",0,$D$36),G63)))))))*(IF(G63="",IF($D$36="",0,$D$36),G63))))</f>
        <v/>
      </c>
      <c r="Q88" s="75" t="str">
        <f aca="false">IF(O88="","",O88+P88)</f>
        <v/>
      </c>
      <c r="R88" s="75" t="str">
        <f aca="false">IF(H53="","",IF(2&gt;IF(H56="",10,H56),"",H53*(1+IF(H54="",0,H54))^ROUNDDOWN((2-1)/IF(H55="",5,H55),0)))</f>
        <v/>
      </c>
      <c r="S88" s="75" t="str">
        <f aca="false">IF(R88="","",IF((IF(H63="",IF($D$36="",0,$D$36),H63))=0,0,MAX(0,3439440-(IF(H64&lt;&gt;"",H64,IF($D$38&lt;&gt;"",$D$38,IF((IF(H63="",IF($D$36="",0,$D$36),H63))=0,0,H53/(IF(H63="",IF($D$36="",0,$D$36),H63)))))))*(IF(H63="",IF($D$36="",0,$D$36),H63))))</f>
        <v/>
      </c>
      <c r="T88" s="75" t="str">
        <f aca="false">IF(R88="","",R88+S88)</f>
        <v/>
      </c>
    </row>
    <row r="89" customFormat="false" ht="15" hidden="false" customHeight="false" outlineLevel="0" collapsed="false">
      <c r="A89" s="74" t="n">
        <v>3</v>
      </c>
      <c r="B89" s="75" t="n">
        <v>3508229</v>
      </c>
      <c r="C89" s="76" t="n">
        <v>90421</v>
      </c>
      <c r="D89" s="76" t="n">
        <v>0</v>
      </c>
      <c r="E89" s="76" t="n">
        <v>90421</v>
      </c>
      <c r="F89" s="75" t="n">
        <f aca="false">IF(D53="","",IF(3&gt;IF(D56="",10,D56),"",D53*(1+IF(D54="",0,D54))^ROUNDDOWN((3-1)/IF(D55="",5,D55),0)))</f>
        <v>90421</v>
      </c>
      <c r="G89" s="75" t="n">
        <f aca="false">IF(F89="","",IF((IF(D63="",IF($D$36="",0,$D$36),D63))=0,0,MAX(0,3508228.8-(IF(D64&lt;&gt;"",D64,IF($D$38&lt;&gt;"",$D$38,IF((IF(D63="",IF($D$36="",0,$D$36),D63))=0,0,D53/(IF(D63="",IF($D$36="",0,$D$36),D63)))))))*(IF(D63="",IF($D$36="",0,$D$36),D63))))</f>
        <v>0</v>
      </c>
      <c r="H89" s="75" t="n">
        <f aca="false">IF(F89="","",F89+G89)</f>
        <v>90421</v>
      </c>
      <c r="I89" s="75" t="str">
        <f aca="false">IF(E53="","",IF(3&gt;IF(E56="",10,E56),"",E53*(1+IF(E54="",0,E54))^ROUNDDOWN((3-1)/IF(E55="",5,E55),0)))</f>
        <v/>
      </c>
      <c r="J89" s="75" t="str">
        <f aca="false">IF(I89="","",IF((IF(E63="",IF($D$36="",0,$D$36),E63))=0,0,MAX(0,3508228.8-(IF(E64&lt;&gt;"",E64,IF($D$38&lt;&gt;"",$D$38,IF((IF(E63="",IF($D$36="",0,$D$36),E63))=0,0,E53/(IF(E63="",IF($D$36="",0,$D$36),E63)))))))*(IF(E63="",IF($D$36="",0,$D$36),E63))))</f>
        <v/>
      </c>
      <c r="K89" s="75" t="str">
        <f aca="false">IF(I89="","",I89+J89)</f>
        <v/>
      </c>
      <c r="L89" s="75" t="str">
        <f aca="false">IF(F53="","",IF(3&gt;IF(F56="",10,F56),"",F53*(1+IF(F54="",0,F54))^ROUNDDOWN((3-1)/IF(F55="",5,F55),0)))</f>
        <v/>
      </c>
      <c r="M89" s="75" t="str">
        <f aca="false">IF(L89="","",IF((IF(F63="",IF($D$36="",0,$D$36),F63))=0,0,MAX(0,3508228.8-(IF(F64&lt;&gt;"",F64,IF($D$38&lt;&gt;"",$D$38,IF((IF(F63="",IF($D$36="",0,$D$36),F63))=0,0,F53/(IF(F63="",IF($D$36="",0,$D$36),F63)))))))*(IF(F63="",IF($D$36="",0,$D$36),F63))))</f>
        <v/>
      </c>
      <c r="N89" s="75" t="str">
        <f aca="false">IF(L89="","",L89+M89)</f>
        <v/>
      </c>
      <c r="O89" s="75" t="str">
        <f aca="false">IF(G53="","",IF(3&gt;IF(G56="",10,G56),"",G53*(1+IF(G54="",0,G54))^ROUNDDOWN((3-1)/IF(G55="",5,G55),0)))</f>
        <v/>
      </c>
      <c r="P89" s="75" t="str">
        <f aca="false">IF(O89="","",IF((IF(G63="",IF($D$36="",0,$D$36),G63))=0,0,MAX(0,3508228.8-(IF(G64&lt;&gt;"",G64,IF($D$38&lt;&gt;"",$D$38,IF((IF(G63="",IF($D$36="",0,$D$36),G63))=0,0,G53/(IF(G63="",IF($D$36="",0,$D$36),G63)))))))*(IF(G63="",IF($D$36="",0,$D$36),G63))))</f>
        <v/>
      </c>
      <c r="Q89" s="75" t="str">
        <f aca="false">IF(O89="","",O89+P89)</f>
        <v/>
      </c>
      <c r="R89" s="75" t="str">
        <f aca="false">IF(H53="","",IF(3&gt;IF(H56="",10,H56),"",H53*(1+IF(H54="",0,H54))^ROUNDDOWN((3-1)/IF(H55="",5,H55),0)))</f>
        <v/>
      </c>
      <c r="S89" s="75" t="str">
        <f aca="false">IF(R89="","",IF((IF(H63="",IF($D$36="",0,$D$36),H63))=0,0,MAX(0,3508228.8-(IF(H64&lt;&gt;"",H64,IF($D$38&lt;&gt;"",$D$38,IF((IF(H63="",IF($D$36="",0,$D$36),H63))=0,0,H53/(IF(H63="",IF($D$36="",0,$D$36),H63)))))))*(IF(H63="",IF($D$36="",0,$D$36),H63))))</f>
        <v/>
      </c>
      <c r="T89" s="75" t="str">
        <f aca="false">IF(R89="","",R89+S89)</f>
        <v/>
      </c>
    </row>
    <row r="90" customFormat="false" ht="15" hidden="false" customHeight="false" outlineLevel="0" collapsed="false">
      <c r="A90" s="74" t="n">
        <v>4</v>
      </c>
      <c r="B90" s="75" t="n">
        <v>3578393</v>
      </c>
      <c r="C90" s="76" t="n">
        <v>90421</v>
      </c>
      <c r="D90" s="76" t="n">
        <v>0</v>
      </c>
      <c r="E90" s="76" t="n">
        <v>90421</v>
      </c>
      <c r="F90" s="75" t="n">
        <f aca="false">IF(D53="","",IF(4&gt;IF(D56="",10,D56),"",D53*(1+IF(D54="",0,D54))^ROUNDDOWN((4-1)/IF(D55="",5,D55),0)))</f>
        <v>90421</v>
      </c>
      <c r="G90" s="75" t="n">
        <f aca="false">IF(F90="","",IF((IF(D63="",IF($D$36="",0,$D$36),D63))=0,0,MAX(0,3578393.38-(IF(D64&lt;&gt;"",D64,IF($D$38&lt;&gt;"",$D$38,IF((IF(D63="",IF($D$36="",0,$D$36),D63))=0,0,D53/(IF(D63="",IF($D$36="",0,$D$36),D63)))))))*(IF(D63="",IF($D$36="",0,$D$36),D63))))</f>
        <v>0</v>
      </c>
      <c r="H90" s="75" t="n">
        <f aca="false">IF(F90="","",F90+G90)</f>
        <v>90421</v>
      </c>
      <c r="I90" s="75" t="str">
        <f aca="false">IF(E53="","",IF(4&gt;IF(E56="",10,E56),"",E53*(1+IF(E54="",0,E54))^ROUNDDOWN((4-1)/IF(E55="",5,E55),0)))</f>
        <v/>
      </c>
      <c r="J90" s="75" t="str">
        <f aca="false">IF(I90="","",IF((IF(E63="",IF($D$36="",0,$D$36),E63))=0,0,MAX(0,3578393.38-(IF(E64&lt;&gt;"",E64,IF($D$38&lt;&gt;"",$D$38,IF((IF(E63="",IF($D$36="",0,$D$36),E63))=0,0,E53/(IF(E63="",IF($D$36="",0,$D$36),E63)))))))*(IF(E63="",IF($D$36="",0,$D$36),E63))))</f>
        <v/>
      </c>
      <c r="K90" s="75" t="str">
        <f aca="false">IF(I90="","",I90+J90)</f>
        <v/>
      </c>
      <c r="L90" s="75" t="str">
        <f aca="false">IF(F53="","",IF(4&gt;IF(F56="",10,F56),"",F53*(1+IF(F54="",0,F54))^ROUNDDOWN((4-1)/IF(F55="",5,F55),0)))</f>
        <v/>
      </c>
      <c r="M90" s="75" t="str">
        <f aca="false">IF(L90="","",IF((IF(F63="",IF($D$36="",0,$D$36),F63))=0,0,MAX(0,3578393.38-(IF(F64&lt;&gt;"",F64,IF($D$38&lt;&gt;"",$D$38,IF((IF(F63="",IF($D$36="",0,$D$36),F63))=0,0,F53/(IF(F63="",IF($D$36="",0,$D$36),F63)))))))*(IF(F63="",IF($D$36="",0,$D$36),F63))))</f>
        <v/>
      </c>
      <c r="N90" s="75" t="str">
        <f aca="false">IF(L90="","",L90+M90)</f>
        <v/>
      </c>
      <c r="O90" s="75" t="str">
        <f aca="false">IF(G53="","",IF(4&gt;IF(G56="",10,G56),"",G53*(1+IF(G54="",0,G54))^ROUNDDOWN((4-1)/IF(G55="",5,G55),0)))</f>
        <v/>
      </c>
      <c r="P90" s="75" t="str">
        <f aca="false">IF(O90="","",IF((IF(G63="",IF($D$36="",0,$D$36),G63))=0,0,MAX(0,3578393.38-(IF(G64&lt;&gt;"",G64,IF($D$38&lt;&gt;"",$D$38,IF((IF(G63="",IF($D$36="",0,$D$36),G63))=0,0,G53/(IF(G63="",IF($D$36="",0,$D$36),G63)))))))*(IF(G63="",IF($D$36="",0,$D$36),G63))))</f>
        <v/>
      </c>
      <c r="Q90" s="75" t="str">
        <f aca="false">IF(O90="","",O90+P90)</f>
        <v/>
      </c>
      <c r="R90" s="75" t="str">
        <f aca="false">IF(H53="","",IF(4&gt;IF(H56="",10,H56),"",H53*(1+IF(H54="",0,H54))^ROUNDDOWN((4-1)/IF(H55="",5,H55),0)))</f>
        <v/>
      </c>
      <c r="S90" s="75" t="str">
        <f aca="false">IF(R90="","",IF((IF(H63="",IF($D$36="",0,$D$36),H63))=0,0,MAX(0,3578393.38-(IF(H64&lt;&gt;"",H64,IF($D$38&lt;&gt;"",$D$38,IF((IF(H63="",IF($D$36="",0,$D$36),H63))=0,0,H53/(IF(H63="",IF($D$36="",0,$D$36),H63)))))))*(IF(H63="",IF($D$36="",0,$D$36),H63))))</f>
        <v/>
      </c>
      <c r="T90" s="75" t="str">
        <f aca="false">IF(R90="","",R90+S90)</f>
        <v/>
      </c>
    </row>
    <row r="91" customFormat="false" ht="15" hidden="false" customHeight="false" outlineLevel="0" collapsed="false">
      <c r="A91" s="74" t="n">
        <v>5</v>
      </c>
      <c r="B91" s="75" t="n">
        <v>3649961</v>
      </c>
      <c r="C91" s="76" t="n">
        <v>90421</v>
      </c>
      <c r="D91" s="76" t="n">
        <v>0</v>
      </c>
      <c r="E91" s="76" t="n">
        <v>90421</v>
      </c>
      <c r="F91" s="75" t="n">
        <f aca="false">IF(D53="","",IF(5&gt;IF(D56="",10,D56),"",D53*(1+IF(D54="",0,D54))^ROUNDDOWN((5-1)/IF(D55="",5,D55),0)))</f>
        <v>90421</v>
      </c>
      <c r="G91" s="75" t="n">
        <f aca="false">IF(F91="","",IF((IF(D63="",IF($D$36="",0,$D$36),D63))=0,0,MAX(0,3649961.24-(IF(D64&lt;&gt;"",D64,IF($D$38&lt;&gt;"",$D$38,IF((IF(D63="",IF($D$36="",0,$D$36),D63))=0,0,D53/(IF(D63="",IF($D$36="",0,$D$36),D63)))))))*(IF(D63="",IF($D$36="",0,$D$36),D63))))</f>
        <v>0</v>
      </c>
      <c r="H91" s="75" t="n">
        <f aca="false">IF(F91="","",F91+G91)</f>
        <v>90421</v>
      </c>
      <c r="I91" s="75" t="str">
        <f aca="false">IF(E53="","",IF(5&gt;IF(E56="",10,E56),"",E53*(1+IF(E54="",0,E54))^ROUNDDOWN((5-1)/IF(E55="",5,E55),0)))</f>
        <v/>
      </c>
      <c r="J91" s="75" t="str">
        <f aca="false">IF(I91="","",IF((IF(E63="",IF($D$36="",0,$D$36),E63))=0,0,MAX(0,3649961.24-(IF(E64&lt;&gt;"",E64,IF($D$38&lt;&gt;"",$D$38,IF((IF(E63="",IF($D$36="",0,$D$36),E63))=0,0,E53/(IF(E63="",IF($D$36="",0,$D$36),E63)))))))*(IF(E63="",IF($D$36="",0,$D$36),E63))))</f>
        <v/>
      </c>
      <c r="K91" s="75" t="str">
        <f aca="false">IF(I91="","",I91+J91)</f>
        <v/>
      </c>
      <c r="L91" s="75" t="str">
        <f aca="false">IF(F53="","",IF(5&gt;IF(F56="",10,F56),"",F53*(1+IF(F54="",0,F54))^ROUNDDOWN((5-1)/IF(F55="",5,F55),0)))</f>
        <v/>
      </c>
      <c r="M91" s="75" t="str">
        <f aca="false">IF(L91="","",IF((IF(F63="",IF($D$36="",0,$D$36),F63))=0,0,MAX(0,3649961.24-(IF(F64&lt;&gt;"",F64,IF($D$38&lt;&gt;"",$D$38,IF((IF(F63="",IF($D$36="",0,$D$36),F63))=0,0,F53/(IF(F63="",IF($D$36="",0,$D$36),F63)))))))*(IF(F63="",IF($D$36="",0,$D$36),F63))))</f>
        <v/>
      </c>
      <c r="N91" s="75" t="str">
        <f aca="false">IF(L91="","",L91+M91)</f>
        <v/>
      </c>
      <c r="O91" s="75" t="str">
        <f aca="false">IF(G53="","",IF(5&gt;IF(G56="",10,G56),"",G53*(1+IF(G54="",0,G54))^ROUNDDOWN((5-1)/IF(G55="",5,G55),0)))</f>
        <v/>
      </c>
      <c r="P91" s="75" t="str">
        <f aca="false">IF(O91="","",IF((IF(G63="",IF($D$36="",0,$D$36),G63))=0,0,MAX(0,3649961.24-(IF(G64&lt;&gt;"",G64,IF($D$38&lt;&gt;"",$D$38,IF((IF(G63="",IF($D$36="",0,$D$36),G63))=0,0,G53/(IF(G63="",IF($D$36="",0,$D$36),G63)))))))*(IF(G63="",IF($D$36="",0,$D$36),G63))))</f>
        <v/>
      </c>
      <c r="Q91" s="75" t="str">
        <f aca="false">IF(O91="","",O91+P91)</f>
        <v/>
      </c>
      <c r="R91" s="75" t="str">
        <f aca="false">IF(H53="","",IF(5&gt;IF(H56="",10,H56),"",H53*(1+IF(H54="",0,H54))^ROUNDDOWN((5-1)/IF(H55="",5,H55),0)))</f>
        <v/>
      </c>
      <c r="S91" s="75" t="str">
        <f aca="false">IF(R91="","",IF((IF(H63="",IF($D$36="",0,$D$36),H63))=0,0,MAX(0,3649961.24-(IF(H64&lt;&gt;"",H64,IF($D$38&lt;&gt;"",$D$38,IF((IF(H63="",IF($D$36="",0,$D$36),H63))=0,0,H53/(IF(H63="",IF($D$36="",0,$D$36),H63)))))))*(IF(H63="",IF($D$36="",0,$D$36),H63))))</f>
        <v/>
      </c>
      <c r="T91" s="75" t="str">
        <f aca="false">IF(R91="","",R91+S91)</f>
        <v/>
      </c>
    </row>
    <row r="92" customFormat="false" ht="15" hidden="false" customHeight="false" outlineLevel="0" collapsed="false">
      <c r="A92" s="74" t="n">
        <v>6</v>
      </c>
      <c r="B92" s="75" t="n">
        <v>3722960</v>
      </c>
      <c r="C92" s="76" t="n">
        <v>98844</v>
      </c>
      <c r="D92" s="76" t="n">
        <v>0</v>
      </c>
      <c r="E92" s="76" t="n">
        <v>98844</v>
      </c>
      <c r="F92" s="75" t="n">
        <f aca="false">IF(D53="","",IF(6&gt;IF(D56="",10,D56),"",D53*(1+IF(D54="",0,D54))^ROUNDDOWN((6-1)/IF(D55="",5,D55),0)))</f>
        <v>92229.42</v>
      </c>
      <c r="G92" s="75" t="n">
        <f aca="false">IF(F92="","",IF((IF(D63="",IF($D$36="",0,$D$36),D63))=0,0,MAX(0,3722960.47-(IF(D64&lt;&gt;"",D64,IF($D$38&lt;&gt;"",$D$38,IF((IF(D63="",IF($D$36="",0,$D$36),D63))=0,0,D53/(IF(D63="",IF($D$36="",0,$D$36),D63)))))))*(IF(D63="",IF($D$36="",0,$D$36),D63))))</f>
        <v>0</v>
      </c>
      <c r="H92" s="75" t="n">
        <f aca="false">IF(F92="","",F92+G92)</f>
        <v>92229.42</v>
      </c>
      <c r="I92" s="75" t="str">
        <f aca="false">IF(E53="","",IF(6&gt;IF(E56="",10,E56),"",E53*(1+IF(E54="",0,E54))^ROUNDDOWN((6-1)/IF(E55="",5,E55),0)))</f>
        <v/>
      </c>
      <c r="J92" s="75" t="str">
        <f aca="false">IF(I92="","",IF((IF(E63="",IF($D$36="",0,$D$36),E63))=0,0,MAX(0,3722960.47-(IF(E64&lt;&gt;"",E64,IF($D$38&lt;&gt;"",$D$38,IF((IF(E63="",IF($D$36="",0,$D$36),E63))=0,0,E53/(IF(E63="",IF($D$36="",0,$D$36),E63)))))))*(IF(E63="",IF($D$36="",0,$D$36),E63))))</f>
        <v/>
      </c>
      <c r="K92" s="75" t="str">
        <f aca="false">IF(I92="","",I92+J92)</f>
        <v/>
      </c>
      <c r="L92" s="75" t="str">
        <f aca="false">IF(F53="","",IF(6&gt;IF(F56="",10,F56),"",F53*(1+IF(F54="",0,F54))^ROUNDDOWN((6-1)/IF(F55="",5,F55),0)))</f>
        <v/>
      </c>
      <c r="M92" s="75" t="str">
        <f aca="false">IF(L92="","",IF((IF(F63="",IF($D$36="",0,$D$36),F63))=0,0,MAX(0,3722960.47-(IF(F64&lt;&gt;"",F64,IF($D$38&lt;&gt;"",$D$38,IF((IF(F63="",IF($D$36="",0,$D$36),F63))=0,0,F53/(IF(F63="",IF($D$36="",0,$D$36),F63)))))))*(IF(F63="",IF($D$36="",0,$D$36),F63))))</f>
        <v/>
      </c>
      <c r="N92" s="75" t="str">
        <f aca="false">IF(L92="","",L92+M92)</f>
        <v/>
      </c>
      <c r="O92" s="75" t="str">
        <f aca="false">IF(G53="","",IF(6&gt;IF(G56="",10,G56),"",G53*(1+IF(G54="",0,G54))^ROUNDDOWN((6-1)/IF(G55="",5,G55),0)))</f>
        <v/>
      </c>
      <c r="P92" s="75" t="str">
        <f aca="false">IF(O92="","",IF((IF(G63="",IF($D$36="",0,$D$36),G63))=0,0,MAX(0,3722960.47-(IF(G64&lt;&gt;"",G64,IF($D$38&lt;&gt;"",$D$38,IF((IF(G63="",IF($D$36="",0,$D$36),G63))=0,0,G53/(IF(G63="",IF($D$36="",0,$D$36),G63)))))))*(IF(G63="",IF($D$36="",0,$D$36),G63))))</f>
        <v/>
      </c>
      <c r="Q92" s="75" t="str">
        <f aca="false">IF(O92="","",O92+P92)</f>
        <v/>
      </c>
      <c r="R92" s="75" t="str">
        <f aca="false">IF(H53="","",IF(6&gt;IF(H56="",10,H56),"",H53*(1+IF(H54="",0,H54))^ROUNDDOWN((6-1)/IF(H55="",5,H55),0)))</f>
        <v/>
      </c>
      <c r="S92" s="75" t="str">
        <f aca="false">IF(R92="","",IF((IF(H63="",IF($D$36="",0,$D$36),H63))=0,0,MAX(0,3722960.47-(IF(H64&lt;&gt;"",H64,IF($D$38&lt;&gt;"",$D$38,IF((IF(H63="",IF($D$36="",0,$D$36),H63))=0,0,H53/(IF(H63="",IF($D$36="",0,$D$36),H63)))))))*(IF(H63="",IF($D$36="",0,$D$36),H63))))</f>
        <v/>
      </c>
      <c r="T92" s="75" t="str">
        <f aca="false">IF(R92="","",R92+S92)</f>
        <v/>
      </c>
    </row>
    <row r="93" customFormat="false" ht="15" hidden="false" customHeight="false" outlineLevel="0" collapsed="false">
      <c r="A93" s="74" t="n">
        <v>7</v>
      </c>
      <c r="B93" s="75" t="n">
        <v>3797420</v>
      </c>
      <c r="C93" s="76" t="n">
        <v>98844</v>
      </c>
      <c r="D93" s="76" t="n">
        <v>0</v>
      </c>
      <c r="E93" s="76" t="n">
        <v>98844</v>
      </c>
      <c r="F93" s="75" t="n">
        <f aca="false">IF(D53="","",IF(7&gt;IF(D56="",10,D56),"",D53*(1+IF(D54="",0,D54))^ROUNDDOWN((7-1)/IF(D55="",5,D55),0)))</f>
        <v>92229.42</v>
      </c>
      <c r="G93" s="75" t="n">
        <f aca="false">IF(F93="","",IF((IF(D63="",IF($D$36="",0,$D$36),D63))=0,0,MAX(0,3797419.68-(IF(D64&lt;&gt;"",D64,IF($D$38&lt;&gt;"",$D$38,IF((IF(D63="",IF($D$36="",0,$D$36),D63))=0,0,D53/(IF(D63="",IF($D$36="",0,$D$36),D63)))))))*(IF(D63="",IF($D$36="",0,$D$36),D63))))</f>
        <v>0</v>
      </c>
      <c r="H93" s="75" t="n">
        <f aca="false">IF(F93="","",F93+G93)</f>
        <v>92229.42</v>
      </c>
      <c r="I93" s="75" t="str">
        <f aca="false">IF(E53="","",IF(7&gt;IF(E56="",10,E56),"",E53*(1+IF(E54="",0,E54))^ROUNDDOWN((7-1)/IF(E55="",5,E55),0)))</f>
        <v/>
      </c>
      <c r="J93" s="75" t="str">
        <f aca="false">IF(I93="","",IF((IF(E63="",IF($D$36="",0,$D$36),E63))=0,0,MAX(0,3797419.68-(IF(E64&lt;&gt;"",E64,IF($D$38&lt;&gt;"",$D$38,IF((IF(E63="",IF($D$36="",0,$D$36),E63))=0,0,E53/(IF(E63="",IF($D$36="",0,$D$36),E63)))))))*(IF(E63="",IF($D$36="",0,$D$36),E63))))</f>
        <v/>
      </c>
      <c r="K93" s="75" t="str">
        <f aca="false">IF(I93="","",I93+J93)</f>
        <v/>
      </c>
      <c r="L93" s="75" t="str">
        <f aca="false">IF(F53="","",IF(7&gt;IF(F56="",10,F56),"",F53*(1+IF(F54="",0,F54))^ROUNDDOWN((7-1)/IF(F55="",5,F55),0)))</f>
        <v/>
      </c>
      <c r="M93" s="75" t="str">
        <f aca="false">IF(L93="","",IF((IF(F63="",IF($D$36="",0,$D$36),F63))=0,0,MAX(0,3797419.68-(IF(F64&lt;&gt;"",F64,IF($D$38&lt;&gt;"",$D$38,IF((IF(F63="",IF($D$36="",0,$D$36),F63))=0,0,F53/(IF(F63="",IF($D$36="",0,$D$36),F63)))))))*(IF(F63="",IF($D$36="",0,$D$36),F63))))</f>
        <v/>
      </c>
      <c r="N93" s="75" t="str">
        <f aca="false">IF(L93="","",L93+M93)</f>
        <v/>
      </c>
      <c r="O93" s="75" t="str">
        <f aca="false">IF(G53="","",IF(7&gt;IF(G56="",10,G56),"",G53*(1+IF(G54="",0,G54))^ROUNDDOWN((7-1)/IF(G55="",5,G55),0)))</f>
        <v/>
      </c>
      <c r="P93" s="75" t="str">
        <f aca="false">IF(O93="","",IF((IF(G63="",IF($D$36="",0,$D$36),G63))=0,0,MAX(0,3797419.68-(IF(G64&lt;&gt;"",G64,IF($D$38&lt;&gt;"",$D$38,IF((IF(G63="",IF($D$36="",0,$D$36),G63))=0,0,G53/(IF(G63="",IF($D$36="",0,$D$36),G63)))))))*(IF(G63="",IF($D$36="",0,$D$36),G63))))</f>
        <v/>
      </c>
      <c r="Q93" s="75" t="str">
        <f aca="false">IF(O93="","",O93+P93)</f>
        <v/>
      </c>
      <c r="R93" s="75" t="str">
        <f aca="false">IF(H53="","",IF(7&gt;IF(H56="",10,H56),"",H53*(1+IF(H54="",0,H54))^ROUNDDOWN((7-1)/IF(H55="",5,H55),0)))</f>
        <v/>
      </c>
      <c r="S93" s="75" t="str">
        <f aca="false">IF(R93="","",IF((IF(H63="",IF($D$36="",0,$D$36),H63))=0,0,MAX(0,3797419.68-(IF(H64&lt;&gt;"",H64,IF($D$38&lt;&gt;"",$D$38,IF((IF(H63="",IF($D$36="",0,$D$36),H63))=0,0,H53/(IF(H63="",IF($D$36="",0,$D$36),H63)))))))*(IF(H63="",IF($D$36="",0,$D$36),H63))))</f>
        <v/>
      </c>
      <c r="T93" s="75" t="str">
        <f aca="false">IF(R93="","",R93+S93)</f>
        <v/>
      </c>
    </row>
    <row r="94" customFormat="false" ht="15" hidden="false" customHeight="false" outlineLevel="0" collapsed="false">
      <c r="A94" s="74" t="n">
        <v>8</v>
      </c>
      <c r="B94" s="75" t="n">
        <v>3873368</v>
      </c>
      <c r="C94" s="76" t="n">
        <v>98844</v>
      </c>
      <c r="D94" s="76" t="n">
        <v>0</v>
      </c>
      <c r="E94" s="76" t="n">
        <v>98844</v>
      </c>
      <c r="F94" s="75" t="n">
        <f aca="false">IF(D53="","",IF(8&gt;IF(D56="",10,D56),"",D53*(1+IF(D54="",0,D54))^ROUNDDOWN((8-1)/IF(D55="",5,D55),0)))</f>
        <v>92229.42</v>
      </c>
      <c r="G94" s="75" t="n">
        <f aca="false">IF(F94="","",IF((IF(D63="",IF($D$36="",0,$D$36),D63))=0,0,MAX(0,3873368.07-(IF(D64&lt;&gt;"",D64,IF($D$38&lt;&gt;"",$D$38,IF((IF(D63="",IF($D$36="",0,$D$36),D63))=0,0,D53/(IF(D63="",IF($D$36="",0,$D$36),D63)))))))*(IF(D63="",IF($D$36="",0,$D$36),D63))))</f>
        <v>0</v>
      </c>
      <c r="H94" s="75" t="n">
        <f aca="false">IF(F94="","",F94+G94)</f>
        <v>92229.42</v>
      </c>
      <c r="I94" s="75" t="str">
        <f aca="false">IF(E53="","",IF(8&gt;IF(E56="",10,E56),"",E53*(1+IF(E54="",0,E54))^ROUNDDOWN((8-1)/IF(E55="",5,E55),0)))</f>
        <v/>
      </c>
      <c r="J94" s="75" t="str">
        <f aca="false">IF(I94="","",IF((IF(E63="",IF($D$36="",0,$D$36),E63))=0,0,MAX(0,3873368.07-(IF(E64&lt;&gt;"",E64,IF($D$38&lt;&gt;"",$D$38,IF((IF(E63="",IF($D$36="",0,$D$36),E63))=0,0,E53/(IF(E63="",IF($D$36="",0,$D$36),E63)))))))*(IF(E63="",IF($D$36="",0,$D$36),E63))))</f>
        <v/>
      </c>
      <c r="K94" s="75" t="str">
        <f aca="false">IF(I94="","",I94+J94)</f>
        <v/>
      </c>
      <c r="L94" s="75" t="str">
        <f aca="false">IF(F53="","",IF(8&gt;IF(F56="",10,F56),"",F53*(1+IF(F54="",0,F54))^ROUNDDOWN((8-1)/IF(F55="",5,F55),0)))</f>
        <v/>
      </c>
      <c r="M94" s="75" t="str">
        <f aca="false">IF(L94="","",IF((IF(F63="",IF($D$36="",0,$D$36),F63))=0,0,MAX(0,3873368.07-(IF(F64&lt;&gt;"",F64,IF($D$38&lt;&gt;"",$D$38,IF((IF(F63="",IF($D$36="",0,$D$36),F63))=0,0,F53/(IF(F63="",IF($D$36="",0,$D$36),F63)))))))*(IF(F63="",IF($D$36="",0,$D$36),F63))))</f>
        <v/>
      </c>
      <c r="N94" s="75" t="str">
        <f aca="false">IF(L94="","",L94+M94)</f>
        <v/>
      </c>
      <c r="O94" s="75" t="str">
        <f aca="false">IF(G53="","",IF(8&gt;IF(G56="",10,G56),"",G53*(1+IF(G54="",0,G54))^ROUNDDOWN((8-1)/IF(G55="",5,G55),0)))</f>
        <v/>
      </c>
      <c r="P94" s="75" t="str">
        <f aca="false">IF(O94="","",IF((IF(G63="",IF($D$36="",0,$D$36),G63))=0,0,MAX(0,3873368.07-(IF(G64&lt;&gt;"",G64,IF($D$38&lt;&gt;"",$D$38,IF((IF(G63="",IF($D$36="",0,$D$36),G63))=0,0,G53/(IF(G63="",IF($D$36="",0,$D$36),G63)))))))*(IF(G63="",IF($D$36="",0,$D$36),G63))))</f>
        <v/>
      </c>
      <c r="Q94" s="75" t="str">
        <f aca="false">IF(O94="","",O94+P94)</f>
        <v/>
      </c>
      <c r="R94" s="75" t="str">
        <f aca="false">IF(H53="","",IF(8&gt;IF(H56="",10,H56),"",H53*(1+IF(H54="",0,H54))^ROUNDDOWN((8-1)/IF(H55="",5,H55),0)))</f>
        <v/>
      </c>
      <c r="S94" s="75" t="str">
        <f aca="false">IF(R94="","",IF((IF(H63="",IF($D$36="",0,$D$36),H63))=0,0,MAX(0,3873368.07-(IF(H64&lt;&gt;"",H64,IF($D$38&lt;&gt;"",$D$38,IF((IF(H63="",IF($D$36="",0,$D$36),H63))=0,0,H53/(IF(H63="",IF($D$36="",0,$D$36),H63)))))))*(IF(H63="",IF($D$36="",0,$D$36),H63))))</f>
        <v/>
      </c>
      <c r="T94" s="75" t="str">
        <f aca="false">IF(R94="","",R94+S94)</f>
        <v/>
      </c>
    </row>
    <row r="95" customFormat="false" ht="15" hidden="false" customHeight="false" outlineLevel="0" collapsed="false">
      <c r="A95" s="74" t="n">
        <v>9</v>
      </c>
      <c r="B95" s="75" t="n">
        <v>3950835</v>
      </c>
      <c r="C95" s="76" t="n">
        <v>98844</v>
      </c>
      <c r="D95" s="76" t="n">
        <v>0</v>
      </c>
      <c r="E95" s="76" t="n">
        <v>98844</v>
      </c>
      <c r="F95" s="75" t="n">
        <f aca="false">IF(D53="","",IF(9&gt;IF(D56="",10,D56),"",D53*(1+IF(D54="",0,D54))^ROUNDDOWN((9-1)/IF(D55="",5,D55),0)))</f>
        <v>92229.42</v>
      </c>
      <c r="G95" s="75" t="n">
        <f aca="false">IF(F95="","",IF((IF(D63="",IF($D$36="",0,$D$36),D63))=0,0,MAX(0,3950835.43-(IF(D64&lt;&gt;"",D64,IF($D$38&lt;&gt;"",$D$38,IF((IF(D63="",IF($D$36="",0,$D$36),D63))=0,0,D53/(IF(D63="",IF($D$36="",0,$D$36),D63)))))))*(IF(D63="",IF($D$36="",0,$D$36),D63))))</f>
        <v>0</v>
      </c>
      <c r="H95" s="75" t="n">
        <f aca="false">IF(F95="","",F95+G95)</f>
        <v>92229.42</v>
      </c>
      <c r="I95" s="75" t="str">
        <f aca="false">IF(E53="","",IF(9&gt;IF(E56="",10,E56),"",E53*(1+IF(E54="",0,E54))^ROUNDDOWN((9-1)/IF(E55="",5,E55),0)))</f>
        <v/>
      </c>
      <c r="J95" s="75" t="str">
        <f aca="false">IF(I95="","",IF((IF(E63="",IF($D$36="",0,$D$36),E63))=0,0,MAX(0,3950835.43-(IF(E64&lt;&gt;"",E64,IF($D$38&lt;&gt;"",$D$38,IF((IF(E63="",IF($D$36="",0,$D$36),E63))=0,0,E53/(IF(E63="",IF($D$36="",0,$D$36),E63)))))))*(IF(E63="",IF($D$36="",0,$D$36),E63))))</f>
        <v/>
      </c>
      <c r="K95" s="75" t="str">
        <f aca="false">IF(I95="","",I95+J95)</f>
        <v/>
      </c>
      <c r="L95" s="75" t="str">
        <f aca="false">IF(F53="","",IF(9&gt;IF(F56="",10,F56),"",F53*(1+IF(F54="",0,F54))^ROUNDDOWN((9-1)/IF(F55="",5,F55),0)))</f>
        <v/>
      </c>
      <c r="M95" s="75" t="str">
        <f aca="false">IF(L95="","",IF((IF(F63="",IF($D$36="",0,$D$36),F63))=0,0,MAX(0,3950835.43-(IF(F64&lt;&gt;"",F64,IF($D$38&lt;&gt;"",$D$38,IF((IF(F63="",IF($D$36="",0,$D$36),F63))=0,0,F53/(IF(F63="",IF($D$36="",0,$D$36),F63)))))))*(IF(F63="",IF($D$36="",0,$D$36),F63))))</f>
        <v/>
      </c>
      <c r="N95" s="75" t="str">
        <f aca="false">IF(L95="","",L95+M95)</f>
        <v/>
      </c>
      <c r="O95" s="75" t="str">
        <f aca="false">IF(G53="","",IF(9&gt;IF(G56="",10,G56),"",G53*(1+IF(G54="",0,G54))^ROUNDDOWN((9-1)/IF(G55="",5,G55),0)))</f>
        <v/>
      </c>
      <c r="P95" s="75" t="str">
        <f aca="false">IF(O95="","",IF((IF(G63="",IF($D$36="",0,$D$36),G63))=0,0,MAX(0,3950835.43-(IF(G64&lt;&gt;"",G64,IF($D$38&lt;&gt;"",$D$38,IF((IF(G63="",IF($D$36="",0,$D$36),G63))=0,0,G53/(IF(G63="",IF($D$36="",0,$D$36),G63)))))))*(IF(G63="",IF($D$36="",0,$D$36),G63))))</f>
        <v/>
      </c>
      <c r="Q95" s="75" t="str">
        <f aca="false">IF(O95="","",O95+P95)</f>
        <v/>
      </c>
      <c r="R95" s="75" t="str">
        <f aca="false">IF(H53="","",IF(9&gt;IF(H56="",10,H56),"",H53*(1+IF(H54="",0,H54))^ROUNDDOWN((9-1)/IF(H55="",5,H55),0)))</f>
        <v/>
      </c>
      <c r="S95" s="75" t="str">
        <f aca="false">IF(R95="","",IF((IF(H63="",IF($D$36="",0,$D$36),H63))=0,0,MAX(0,3950835.43-(IF(H64&lt;&gt;"",H64,IF($D$38&lt;&gt;"",$D$38,IF((IF(H63="",IF($D$36="",0,$D$36),H63))=0,0,H53/(IF(H63="",IF($D$36="",0,$D$36),H63)))))))*(IF(H63="",IF($D$36="",0,$D$36),H63))))</f>
        <v/>
      </c>
      <c r="T95" s="75" t="str">
        <f aca="false">IF(R95="","",R95+S95)</f>
        <v/>
      </c>
    </row>
    <row r="96" customFormat="false" ht="15" hidden="false" customHeight="false" outlineLevel="0" collapsed="false">
      <c r="A96" s="74" t="n">
        <v>10</v>
      </c>
      <c r="B96" s="75" t="n">
        <v>4029852</v>
      </c>
      <c r="C96" s="76" t="n">
        <v>98844</v>
      </c>
      <c r="D96" s="76" t="n">
        <v>0</v>
      </c>
      <c r="E96" s="76" t="n">
        <v>98844</v>
      </c>
      <c r="F96" s="75" t="n">
        <f aca="false">IF(D53="","",IF(10&gt;IF(D56="",10,D56),"",D53*(1+IF(D54="",0,D54))^ROUNDDOWN((10-1)/IF(D55="",5,D55),0)))</f>
        <v>92229.42</v>
      </c>
      <c r="G96" s="75" t="n">
        <f aca="false">IF(F96="","",IF((IF(D63="",IF($D$36="",0,$D$36),D63))=0,0,MAX(0,4029852.14-(IF(D64&lt;&gt;"",D64,IF($D$38&lt;&gt;"",$D$38,IF((IF(D63="",IF($D$36="",0,$D$36),D63))=0,0,D53/(IF(D63="",IF($D$36="",0,$D$36),D63)))))))*(IF(D63="",IF($D$36="",0,$D$36),D63))))</f>
        <v>0</v>
      </c>
      <c r="H96" s="75" t="n">
        <f aca="false">IF(F96="","",F96+G96)</f>
        <v>92229.42</v>
      </c>
      <c r="I96" s="75" t="str">
        <f aca="false">IF(E53="","",IF(10&gt;IF(E56="",10,E56),"",E53*(1+IF(E54="",0,E54))^ROUNDDOWN((10-1)/IF(E55="",5,E55),0)))</f>
        <v/>
      </c>
      <c r="J96" s="75" t="str">
        <f aca="false">IF(I96="","",IF((IF(E63="",IF($D$36="",0,$D$36),E63))=0,0,MAX(0,4029852.14-(IF(E64&lt;&gt;"",E64,IF($D$38&lt;&gt;"",$D$38,IF((IF(E63="",IF($D$36="",0,$D$36),E63))=0,0,E53/(IF(E63="",IF($D$36="",0,$D$36),E63)))))))*(IF(E63="",IF($D$36="",0,$D$36),E63))))</f>
        <v/>
      </c>
      <c r="K96" s="75" t="str">
        <f aca="false">IF(I96="","",I96+J96)</f>
        <v/>
      </c>
      <c r="L96" s="75" t="str">
        <f aca="false">IF(F53="","",IF(10&gt;IF(F56="",10,F56),"",F53*(1+IF(F54="",0,F54))^ROUNDDOWN((10-1)/IF(F55="",5,F55),0)))</f>
        <v/>
      </c>
      <c r="M96" s="75" t="str">
        <f aca="false">IF(L96="","",IF((IF(F63="",IF($D$36="",0,$D$36),F63))=0,0,MAX(0,4029852.14-(IF(F64&lt;&gt;"",F64,IF($D$38&lt;&gt;"",$D$38,IF((IF(F63="",IF($D$36="",0,$D$36),F63))=0,0,F53/(IF(F63="",IF($D$36="",0,$D$36),F63)))))))*(IF(F63="",IF($D$36="",0,$D$36),F63))))</f>
        <v/>
      </c>
      <c r="N96" s="75" t="str">
        <f aca="false">IF(L96="","",L96+M96)</f>
        <v/>
      </c>
      <c r="O96" s="75" t="str">
        <f aca="false">IF(G53="","",IF(10&gt;IF(G56="",10,G56),"",G53*(1+IF(G54="",0,G54))^ROUNDDOWN((10-1)/IF(G55="",5,G55),0)))</f>
        <v/>
      </c>
      <c r="P96" s="75" t="str">
        <f aca="false">IF(O96="","",IF((IF(G63="",IF($D$36="",0,$D$36),G63))=0,0,MAX(0,4029852.14-(IF(G64&lt;&gt;"",G64,IF($D$38&lt;&gt;"",$D$38,IF((IF(G63="",IF($D$36="",0,$D$36),G63))=0,0,G53/(IF(G63="",IF($D$36="",0,$D$36),G63)))))))*(IF(G63="",IF($D$36="",0,$D$36),G63))))</f>
        <v/>
      </c>
      <c r="Q96" s="75" t="str">
        <f aca="false">IF(O96="","",O96+P96)</f>
        <v/>
      </c>
      <c r="R96" s="75" t="str">
        <f aca="false">IF(H53="","",IF(10&gt;IF(H56="",10,H56),"",H53*(1+IF(H54="",0,H54))^ROUNDDOWN((10-1)/IF(H55="",5,H55),0)))</f>
        <v/>
      </c>
      <c r="S96" s="75" t="str">
        <f aca="false">IF(R96="","",IF((IF(H63="",IF($D$36="",0,$D$36),H63))=0,0,MAX(0,4029852.14-(IF(H64&lt;&gt;"",H64,IF($D$38&lt;&gt;"",$D$38,IF((IF(H63="",IF($D$36="",0,$D$36),H63))=0,0,H53/(IF(H63="",IF($D$36="",0,$D$36),H63)))))))*(IF(H63="",IF($D$36="",0,$D$36),H63))))</f>
        <v/>
      </c>
      <c r="T96" s="75" t="str">
        <f aca="false">IF(R96="","",R96+S96)</f>
        <v/>
      </c>
    </row>
    <row r="97" customFormat="false" ht="15" hidden="false" customHeight="false" outlineLevel="0" collapsed="false">
      <c r="A97" s="74" t="n">
        <v>11</v>
      </c>
      <c r="B97" s="75" t="n">
        <v>4110449</v>
      </c>
      <c r="C97" s="76" t="n">
        <v>108053</v>
      </c>
      <c r="D97" s="76" t="n">
        <v>0</v>
      </c>
      <c r="E97" s="76" t="n">
        <v>108053</v>
      </c>
      <c r="F97" s="75" t="n">
        <f aca="false">IF(D53="","",IF(11&gt;IF(D56="",10,D56),"",D53*(1+IF(D54="",0,D54))^ROUNDDOWN((11-1)/IF(D55="",5,D55),0)))</f>
        <v>94074.0084</v>
      </c>
      <c r="G97" s="75" t="n">
        <f aca="false">IF(F97="","",IF((IF(D63="",IF($D$36="",0,$D$36),D63))=0,0,MAX(0,4110449.18-(IF(D64&lt;&gt;"",D64,IF($D$38&lt;&gt;"",$D$38,IF((IF(D63="",IF($D$36="",0,$D$36),D63))=0,0,D53/(IF(D63="",IF($D$36="",0,$D$36),D63)))))))*(IF(D63="",IF($D$36="",0,$D$36),D63))))</f>
        <v>0</v>
      </c>
      <c r="H97" s="75" t="n">
        <f aca="false">IF(F97="","",F97+G97)</f>
        <v>94074.0084</v>
      </c>
      <c r="I97" s="75" t="str">
        <f aca="false">IF(E53="","",IF(11&gt;IF(E56="",10,E56),"",E53*(1+IF(E54="",0,E54))^ROUNDDOWN((11-1)/IF(E55="",5,E55),0)))</f>
        <v/>
      </c>
      <c r="J97" s="75" t="str">
        <f aca="false">IF(I97="","",IF((IF(E63="",IF($D$36="",0,$D$36),E63))=0,0,MAX(0,4110449.18-(IF(E64&lt;&gt;"",E64,IF($D$38&lt;&gt;"",$D$38,IF((IF(E63="",IF($D$36="",0,$D$36),E63))=0,0,E53/(IF(E63="",IF($D$36="",0,$D$36),E63)))))))*(IF(E63="",IF($D$36="",0,$D$36),E63))))</f>
        <v/>
      </c>
      <c r="K97" s="75" t="str">
        <f aca="false">IF(I97="","",I97+J97)</f>
        <v/>
      </c>
      <c r="L97" s="75" t="str">
        <f aca="false">IF(F53="","",IF(11&gt;IF(F56="",10,F56),"",F53*(1+IF(F54="",0,F54))^ROUNDDOWN((11-1)/IF(F55="",5,F55),0)))</f>
        <v/>
      </c>
      <c r="M97" s="75" t="str">
        <f aca="false">IF(L97="","",IF((IF(F63="",IF($D$36="",0,$D$36),F63))=0,0,MAX(0,4110449.18-(IF(F64&lt;&gt;"",F64,IF($D$38&lt;&gt;"",$D$38,IF((IF(F63="",IF($D$36="",0,$D$36),F63))=0,0,F53/(IF(F63="",IF($D$36="",0,$D$36),F63)))))))*(IF(F63="",IF($D$36="",0,$D$36),F63))))</f>
        <v/>
      </c>
      <c r="N97" s="75" t="str">
        <f aca="false">IF(L97="","",L97+M97)</f>
        <v/>
      </c>
      <c r="O97" s="75" t="str">
        <f aca="false">IF(G53="","",IF(11&gt;IF(G56="",10,G56),"",G53*(1+IF(G54="",0,G54))^ROUNDDOWN((11-1)/IF(G55="",5,G55),0)))</f>
        <v/>
      </c>
      <c r="P97" s="75" t="str">
        <f aca="false">IF(O97="","",IF((IF(G63="",IF($D$36="",0,$D$36),G63))=0,0,MAX(0,4110449.18-(IF(G64&lt;&gt;"",G64,IF($D$38&lt;&gt;"",$D$38,IF((IF(G63="",IF($D$36="",0,$D$36),G63))=0,0,G53/(IF(G63="",IF($D$36="",0,$D$36),G63)))))))*(IF(G63="",IF($D$36="",0,$D$36),G63))))</f>
        <v/>
      </c>
      <c r="Q97" s="75" t="str">
        <f aca="false">IF(O97="","",O97+P97)</f>
        <v/>
      </c>
      <c r="R97" s="75" t="str">
        <f aca="false">IF(H53="","",IF(11&gt;IF(H56="",10,H56),"",H53*(1+IF(H54="",0,H54))^ROUNDDOWN((11-1)/IF(H55="",5,H55),0)))</f>
        <v/>
      </c>
      <c r="S97" s="75" t="str">
        <f aca="false">IF(R97="","",IF((IF(H63="",IF($D$36="",0,$D$36),H63))=0,0,MAX(0,4110449.18-(IF(H64&lt;&gt;"",H64,IF($D$38&lt;&gt;"",$D$38,IF((IF(H63="",IF($D$36="",0,$D$36),H63))=0,0,H53/(IF(H63="",IF($D$36="",0,$D$36),H63)))))))*(IF(H63="",IF($D$36="",0,$D$36),H63))))</f>
        <v/>
      </c>
      <c r="T97" s="75" t="str">
        <f aca="false">IF(R97="","",R97+S97)</f>
        <v/>
      </c>
    </row>
    <row r="98" customFormat="false" ht="15" hidden="false" customHeight="false" outlineLevel="0" collapsed="false">
      <c r="A98" s="74" t="n">
        <v>12</v>
      </c>
      <c r="B98" s="75" t="n">
        <v>4192658</v>
      </c>
      <c r="C98" s="76" t="n">
        <v>108053</v>
      </c>
      <c r="D98" s="76" t="n">
        <v>0</v>
      </c>
      <c r="E98" s="76" t="n">
        <v>108053</v>
      </c>
      <c r="F98" s="75" t="n">
        <f aca="false">IF(D53="","",IF(12&gt;IF(D56="",10,D56),"",D53*(1+IF(D54="",0,D54))^ROUNDDOWN((12-1)/IF(D55="",5,D55),0)))</f>
        <v>94074.0084</v>
      </c>
      <c r="G98" s="75" t="n">
        <f aca="false">IF(F98="","",IF((IF(D63="",IF($D$36="",0,$D$36),D63))=0,0,MAX(0,4192658.17-(IF(D64&lt;&gt;"",D64,IF($D$38&lt;&gt;"",$D$38,IF((IF(D63="",IF($D$36="",0,$D$36),D63))=0,0,D53/(IF(D63="",IF($D$36="",0,$D$36),D63)))))))*(IF(D63="",IF($D$36="",0,$D$36),D63))))</f>
        <v>0</v>
      </c>
      <c r="H98" s="75" t="n">
        <f aca="false">IF(F98="","",F98+G98)</f>
        <v>94074.0084</v>
      </c>
      <c r="I98" s="75" t="str">
        <f aca="false">IF(E53="","",IF(12&gt;IF(E56="",10,E56),"",E53*(1+IF(E54="",0,E54))^ROUNDDOWN((12-1)/IF(E55="",5,E55),0)))</f>
        <v/>
      </c>
      <c r="J98" s="75" t="str">
        <f aca="false">IF(I98="","",IF((IF(E63="",IF($D$36="",0,$D$36),E63))=0,0,MAX(0,4192658.17-(IF(E64&lt;&gt;"",E64,IF($D$38&lt;&gt;"",$D$38,IF((IF(E63="",IF($D$36="",0,$D$36),E63))=0,0,E53/(IF(E63="",IF($D$36="",0,$D$36),E63)))))))*(IF(E63="",IF($D$36="",0,$D$36),E63))))</f>
        <v/>
      </c>
      <c r="K98" s="75" t="str">
        <f aca="false">IF(I98="","",I98+J98)</f>
        <v/>
      </c>
      <c r="L98" s="75" t="str">
        <f aca="false">IF(F53="","",IF(12&gt;IF(F56="",10,F56),"",F53*(1+IF(F54="",0,F54))^ROUNDDOWN((12-1)/IF(F55="",5,F55),0)))</f>
        <v/>
      </c>
      <c r="M98" s="75" t="str">
        <f aca="false">IF(L98="","",IF((IF(F63="",IF($D$36="",0,$D$36),F63))=0,0,MAX(0,4192658.17-(IF(F64&lt;&gt;"",F64,IF($D$38&lt;&gt;"",$D$38,IF((IF(F63="",IF($D$36="",0,$D$36),F63))=0,0,F53/(IF(F63="",IF($D$36="",0,$D$36),F63)))))))*(IF(F63="",IF($D$36="",0,$D$36),F63))))</f>
        <v/>
      </c>
      <c r="N98" s="75" t="str">
        <f aca="false">IF(L98="","",L98+M98)</f>
        <v/>
      </c>
      <c r="O98" s="75" t="str">
        <f aca="false">IF(G53="","",IF(12&gt;IF(G56="",10,G56),"",G53*(1+IF(G54="",0,G54))^ROUNDDOWN((12-1)/IF(G55="",5,G55),0)))</f>
        <v/>
      </c>
      <c r="P98" s="75" t="str">
        <f aca="false">IF(O98="","",IF((IF(G63="",IF($D$36="",0,$D$36),G63))=0,0,MAX(0,4192658.17-(IF(G64&lt;&gt;"",G64,IF($D$38&lt;&gt;"",$D$38,IF((IF(G63="",IF($D$36="",0,$D$36),G63))=0,0,G53/(IF(G63="",IF($D$36="",0,$D$36),G63)))))))*(IF(G63="",IF($D$36="",0,$D$36),G63))))</f>
        <v/>
      </c>
      <c r="Q98" s="75" t="str">
        <f aca="false">IF(O98="","",O98+P98)</f>
        <v/>
      </c>
      <c r="R98" s="75" t="str">
        <f aca="false">IF(H53="","",IF(12&gt;IF(H56="",10,H56),"",H53*(1+IF(H54="",0,H54))^ROUNDDOWN((12-1)/IF(H55="",5,H55),0)))</f>
        <v/>
      </c>
      <c r="S98" s="75" t="str">
        <f aca="false">IF(R98="","",IF((IF(H63="",IF($D$36="",0,$D$36),H63))=0,0,MAX(0,4192658.17-(IF(H64&lt;&gt;"",H64,IF($D$38&lt;&gt;"",$D$38,IF((IF(H63="",IF($D$36="",0,$D$36),H63))=0,0,H53/(IF(H63="",IF($D$36="",0,$D$36),H63)))))))*(IF(H63="",IF($D$36="",0,$D$36),H63))))</f>
        <v/>
      </c>
      <c r="T98" s="75" t="str">
        <f aca="false">IF(R98="","",R98+S98)</f>
        <v/>
      </c>
    </row>
    <row r="99" customFormat="false" ht="15" hidden="false" customHeight="false" outlineLevel="0" collapsed="false">
      <c r="A99" s="74" t="n">
        <v>13</v>
      </c>
      <c r="B99" s="75" t="n">
        <v>4276511</v>
      </c>
      <c r="C99" s="76" t="n">
        <v>108053</v>
      </c>
      <c r="D99" s="76" t="n">
        <v>0</v>
      </c>
      <c r="E99" s="76" t="n">
        <v>108053</v>
      </c>
      <c r="F99" s="75" t="n">
        <f aca="false">IF(D53="","",IF(13&gt;IF(D56="",10,D56),"",D53*(1+IF(D54="",0,D54))^ROUNDDOWN((13-1)/IF(D55="",5,D55),0)))</f>
        <v>94074.0084</v>
      </c>
      <c r="G99" s="75" t="n">
        <f aca="false">IF(F99="","",IF((IF(D63="",IF($D$36="",0,$D$36),D63))=0,0,MAX(0,4276511.33-(IF(D64&lt;&gt;"",D64,IF($D$38&lt;&gt;"",$D$38,IF((IF(D63="",IF($D$36="",0,$D$36),D63))=0,0,D53/(IF(D63="",IF($D$36="",0,$D$36),D63)))))))*(IF(D63="",IF($D$36="",0,$D$36),D63))))</f>
        <v>0</v>
      </c>
      <c r="H99" s="75" t="n">
        <f aca="false">IF(F99="","",F99+G99)</f>
        <v>94074.0084</v>
      </c>
      <c r="I99" s="75" t="str">
        <f aca="false">IF(E53="","",IF(13&gt;IF(E56="",10,E56),"",E53*(1+IF(E54="",0,E54))^ROUNDDOWN((13-1)/IF(E55="",5,E55),0)))</f>
        <v/>
      </c>
      <c r="J99" s="75" t="str">
        <f aca="false">IF(I99="","",IF((IF(E63="",IF($D$36="",0,$D$36),E63))=0,0,MAX(0,4276511.33-(IF(E64&lt;&gt;"",E64,IF($D$38&lt;&gt;"",$D$38,IF((IF(E63="",IF($D$36="",0,$D$36),E63))=0,0,E53/(IF(E63="",IF($D$36="",0,$D$36),E63)))))))*(IF(E63="",IF($D$36="",0,$D$36),E63))))</f>
        <v/>
      </c>
      <c r="K99" s="75" t="str">
        <f aca="false">IF(I99="","",I99+J99)</f>
        <v/>
      </c>
      <c r="L99" s="75" t="str">
        <f aca="false">IF(F53="","",IF(13&gt;IF(F56="",10,F56),"",F53*(1+IF(F54="",0,F54))^ROUNDDOWN((13-1)/IF(F55="",5,F55),0)))</f>
        <v/>
      </c>
      <c r="M99" s="75" t="str">
        <f aca="false">IF(L99="","",IF((IF(F63="",IF($D$36="",0,$D$36),F63))=0,0,MAX(0,4276511.33-(IF(F64&lt;&gt;"",F64,IF($D$38&lt;&gt;"",$D$38,IF((IF(F63="",IF($D$36="",0,$D$36),F63))=0,0,F53/(IF(F63="",IF($D$36="",0,$D$36),F63)))))))*(IF(F63="",IF($D$36="",0,$D$36),F63))))</f>
        <v/>
      </c>
      <c r="N99" s="75" t="str">
        <f aca="false">IF(L99="","",L99+M99)</f>
        <v/>
      </c>
      <c r="O99" s="75" t="str">
        <f aca="false">IF(G53="","",IF(13&gt;IF(G56="",10,G56),"",G53*(1+IF(G54="",0,G54))^ROUNDDOWN((13-1)/IF(G55="",5,G55),0)))</f>
        <v/>
      </c>
      <c r="P99" s="75" t="str">
        <f aca="false">IF(O99="","",IF((IF(G63="",IF($D$36="",0,$D$36),G63))=0,0,MAX(0,4276511.33-(IF(G64&lt;&gt;"",G64,IF($D$38&lt;&gt;"",$D$38,IF((IF(G63="",IF($D$36="",0,$D$36),G63))=0,0,G53/(IF(G63="",IF($D$36="",0,$D$36),G63)))))))*(IF(G63="",IF($D$36="",0,$D$36),G63))))</f>
        <v/>
      </c>
      <c r="Q99" s="75" t="str">
        <f aca="false">IF(O99="","",O99+P99)</f>
        <v/>
      </c>
      <c r="R99" s="75" t="str">
        <f aca="false">IF(H53="","",IF(13&gt;IF(H56="",10,H56),"",H53*(1+IF(H54="",0,H54))^ROUNDDOWN((13-1)/IF(H55="",5,H55),0)))</f>
        <v/>
      </c>
      <c r="S99" s="75" t="str">
        <f aca="false">IF(R99="","",IF((IF(H63="",IF($D$36="",0,$D$36),H63))=0,0,MAX(0,4276511.33-(IF(H64&lt;&gt;"",H64,IF($D$38&lt;&gt;"",$D$38,IF((IF(H63="",IF($D$36="",0,$D$36),H63))=0,0,H53/(IF(H63="",IF($D$36="",0,$D$36),H63)))))))*(IF(H63="",IF($D$36="",0,$D$36),H63))))</f>
        <v/>
      </c>
      <c r="T99" s="75" t="str">
        <f aca="false">IF(R99="","",R99+S99)</f>
        <v/>
      </c>
    </row>
    <row r="100" customFormat="false" ht="15" hidden="false" customHeight="false" outlineLevel="0" collapsed="false">
      <c r="A100" s="74" t="n">
        <v>14</v>
      </c>
      <c r="B100" s="75" t="n">
        <v>4362042</v>
      </c>
      <c r="C100" s="76" t="n">
        <v>108053</v>
      </c>
      <c r="D100" s="76" t="n">
        <v>0</v>
      </c>
      <c r="E100" s="76" t="n">
        <v>108053</v>
      </c>
      <c r="F100" s="75" t="n">
        <f aca="false">IF(D53="","",IF(14&gt;IF(D56="",10,D56),"",D53*(1+IF(D54="",0,D54))^ROUNDDOWN((14-1)/IF(D55="",5,D55),0)))</f>
        <v>94074.0084</v>
      </c>
      <c r="G100" s="75" t="n">
        <f aca="false">IF(F100="","",IF((IF(D63="",IF($D$36="",0,$D$36),D63))=0,0,MAX(0,4362041.56-(IF(D64&lt;&gt;"",D64,IF($D$38&lt;&gt;"",$D$38,IF((IF(D63="",IF($D$36="",0,$D$36),D63))=0,0,D53/(IF(D63="",IF($D$36="",0,$D$36),D63)))))))*(IF(D63="",IF($D$36="",0,$D$36),D63))))</f>
        <v>0</v>
      </c>
      <c r="H100" s="75" t="n">
        <f aca="false">IF(F100="","",F100+G100)</f>
        <v>94074.0084</v>
      </c>
      <c r="I100" s="75" t="str">
        <f aca="false">IF(E53="","",IF(14&gt;IF(E56="",10,E56),"",E53*(1+IF(E54="",0,E54))^ROUNDDOWN((14-1)/IF(E55="",5,E55),0)))</f>
        <v/>
      </c>
      <c r="J100" s="75" t="str">
        <f aca="false">IF(I100="","",IF((IF(E63="",IF($D$36="",0,$D$36),E63))=0,0,MAX(0,4362041.56-(IF(E64&lt;&gt;"",E64,IF($D$38&lt;&gt;"",$D$38,IF((IF(E63="",IF($D$36="",0,$D$36),E63))=0,0,E53/(IF(E63="",IF($D$36="",0,$D$36),E63)))))))*(IF(E63="",IF($D$36="",0,$D$36),E63))))</f>
        <v/>
      </c>
      <c r="K100" s="75" t="str">
        <f aca="false">IF(I100="","",I100+J100)</f>
        <v/>
      </c>
      <c r="L100" s="75" t="str">
        <f aca="false">IF(F53="","",IF(14&gt;IF(F56="",10,F56),"",F53*(1+IF(F54="",0,F54))^ROUNDDOWN((14-1)/IF(F55="",5,F55),0)))</f>
        <v/>
      </c>
      <c r="M100" s="75" t="str">
        <f aca="false">IF(L100="","",IF((IF(F63="",IF($D$36="",0,$D$36),F63))=0,0,MAX(0,4362041.56-(IF(F64&lt;&gt;"",F64,IF($D$38&lt;&gt;"",$D$38,IF((IF(F63="",IF($D$36="",0,$D$36),F63))=0,0,F53/(IF(F63="",IF($D$36="",0,$D$36),F63)))))))*(IF(F63="",IF($D$36="",0,$D$36),F63))))</f>
        <v/>
      </c>
      <c r="N100" s="75" t="str">
        <f aca="false">IF(L100="","",L100+M100)</f>
        <v/>
      </c>
      <c r="O100" s="75" t="str">
        <f aca="false">IF(G53="","",IF(14&gt;IF(G56="",10,G56),"",G53*(1+IF(G54="",0,G54))^ROUNDDOWN((14-1)/IF(G55="",5,G55),0)))</f>
        <v/>
      </c>
      <c r="P100" s="75" t="str">
        <f aca="false">IF(O100="","",IF((IF(G63="",IF($D$36="",0,$D$36),G63))=0,0,MAX(0,4362041.56-(IF(G64&lt;&gt;"",G64,IF($D$38&lt;&gt;"",$D$38,IF((IF(G63="",IF($D$36="",0,$D$36),G63))=0,0,G53/(IF(G63="",IF($D$36="",0,$D$36),G63)))))))*(IF(G63="",IF($D$36="",0,$D$36),G63))))</f>
        <v/>
      </c>
      <c r="Q100" s="75" t="str">
        <f aca="false">IF(O100="","",O100+P100)</f>
        <v/>
      </c>
      <c r="R100" s="75" t="str">
        <f aca="false">IF(H53="","",IF(14&gt;IF(H56="",10,H56),"",H53*(1+IF(H54="",0,H54))^ROUNDDOWN((14-1)/IF(H55="",5,H55),0)))</f>
        <v/>
      </c>
      <c r="S100" s="75" t="str">
        <f aca="false">IF(R100="","",IF((IF(H63="",IF($D$36="",0,$D$36),H63))=0,0,MAX(0,4362041.56-(IF(H64&lt;&gt;"",H64,IF($D$38&lt;&gt;"",$D$38,IF((IF(H63="",IF($D$36="",0,$D$36),H63))=0,0,H53/(IF(H63="",IF($D$36="",0,$D$36),H63)))))))*(IF(H63="",IF($D$36="",0,$D$36),H63))))</f>
        <v/>
      </c>
      <c r="T100" s="75" t="str">
        <f aca="false">IF(R100="","",R100+S100)</f>
        <v/>
      </c>
    </row>
    <row r="101" customFormat="false" ht="15" hidden="false" customHeight="false" outlineLevel="0" collapsed="false">
      <c r="A101" s="74" t="n">
        <v>15</v>
      </c>
      <c r="B101" s="75" t="n">
        <v>4449282</v>
      </c>
      <c r="C101" s="76" t="n">
        <v>108053</v>
      </c>
      <c r="D101" s="76" t="n">
        <v>0</v>
      </c>
      <c r="E101" s="76" t="n">
        <v>108053</v>
      </c>
      <c r="F101" s="75" t="n">
        <f aca="false">IF(D53="","",IF(15&gt;IF(D56="",10,D56),"",D53*(1+IF(D54="",0,D54))^ROUNDDOWN((15-1)/IF(D55="",5,D55),0)))</f>
        <v>94074.0084</v>
      </c>
      <c r="G101" s="75" t="n">
        <f aca="false">IF(F101="","",IF((IF(D63="",IF($D$36="",0,$D$36),D63))=0,0,MAX(0,4449282.39-(IF(D64&lt;&gt;"",D64,IF($D$38&lt;&gt;"",$D$38,IF((IF(D63="",IF($D$36="",0,$D$36),D63))=0,0,D53/(IF(D63="",IF($D$36="",0,$D$36),D63)))))))*(IF(D63="",IF($D$36="",0,$D$36),D63))))</f>
        <v>0</v>
      </c>
      <c r="H101" s="75" t="n">
        <f aca="false">IF(F101="","",F101+G101)</f>
        <v>94074.0084</v>
      </c>
      <c r="I101" s="75" t="str">
        <f aca="false">IF(E53="","",IF(15&gt;IF(E56="",10,E56),"",E53*(1+IF(E54="",0,E54))^ROUNDDOWN((15-1)/IF(E55="",5,E55),0)))</f>
        <v/>
      </c>
      <c r="J101" s="75" t="str">
        <f aca="false">IF(I101="","",IF((IF(E63="",IF($D$36="",0,$D$36),E63))=0,0,MAX(0,4449282.39-(IF(E64&lt;&gt;"",E64,IF($D$38&lt;&gt;"",$D$38,IF((IF(E63="",IF($D$36="",0,$D$36),E63))=0,0,E53/(IF(E63="",IF($D$36="",0,$D$36),E63)))))))*(IF(E63="",IF($D$36="",0,$D$36),E63))))</f>
        <v/>
      </c>
      <c r="K101" s="75" t="str">
        <f aca="false">IF(I101="","",I101+J101)</f>
        <v/>
      </c>
      <c r="L101" s="75" t="str">
        <f aca="false">IF(F53="","",IF(15&gt;IF(F56="",10,F56),"",F53*(1+IF(F54="",0,F54))^ROUNDDOWN((15-1)/IF(F55="",5,F55),0)))</f>
        <v/>
      </c>
      <c r="M101" s="75" t="str">
        <f aca="false">IF(L101="","",IF((IF(F63="",IF($D$36="",0,$D$36),F63))=0,0,MAX(0,4449282.39-(IF(F64&lt;&gt;"",F64,IF($D$38&lt;&gt;"",$D$38,IF((IF(F63="",IF($D$36="",0,$D$36),F63))=0,0,F53/(IF(F63="",IF($D$36="",0,$D$36),F63)))))))*(IF(F63="",IF($D$36="",0,$D$36),F63))))</f>
        <v/>
      </c>
      <c r="N101" s="75" t="str">
        <f aca="false">IF(L101="","",L101+M101)</f>
        <v/>
      </c>
      <c r="O101" s="75" t="str">
        <f aca="false">IF(G53="","",IF(15&gt;IF(G56="",10,G56),"",G53*(1+IF(G54="",0,G54))^ROUNDDOWN((15-1)/IF(G55="",5,G55),0)))</f>
        <v/>
      </c>
      <c r="P101" s="75" t="str">
        <f aca="false">IF(O101="","",IF((IF(G63="",IF($D$36="",0,$D$36),G63))=0,0,MAX(0,4449282.39-(IF(G64&lt;&gt;"",G64,IF($D$38&lt;&gt;"",$D$38,IF((IF(G63="",IF($D$36="",0,$D$36),G63))=0,0,G53/(IF(G63="",IF($D$36="",0,$D$36),G63)))))))*(IF(G63="",IF($D$36="",0,$D$36),G63))))</f>
        <v/>
      </c>
      <c r="Q101" s="75" t="str">
        <f aca="false">IF(O101="","",O101+P101)</f>
        <v/>
      </c>
      <c r="R101" s="75" t="str">
        <f aca="false">IF(H53="","",IF(15&gt;IF(H56="",10,H56),"",H53*(1+IF(H54="",0,H54))^ROUNDDOWN((15-1)/IF(H55="",5,H55),0)))</f>
        <v/>
      </c>
      <c r="S101" s="75" t="str">
        <f aca="false">IF(R101="","",IF((IF(H63="",IF($D$36="",0,$D$36),H63))=0,0,MAX(0,4449282.39-(IF(H64&lt;&gt;"",H64,IF($D$38&lt;&gt;"",$D$38,IF((IF(H63="",IF($D$36="",0,$D$36),H63))=0,0,H53/(IF(H63="",IF($D$36="",0,$D$36),H63)))))))*(IF(H63="",IF($D$36="",0,$D$36),H63))))</f>
        <v/>
      </c>
      <c r="T101" s="75" t="str">
        <f aca="false">IF(R101="","",R101+S101)</f>
        <v/>
      </c>
    </row>
    <row r="102" customFormat="false" ht="15" hidden="false" customHeight="false" outlineLevel="0" collapsed="false">
      <c r="A102" s="74" t="n">
        <v>16</v>
      </c>
      <c r="B102" s="75" t="n">
        <v>4538268</v>
      </c>
      <c r="C102" s="76" t="n">
        <v>118119</v>
      </c>
      <c r="D102" s="76" t="n">
        <v>0</v>
      </c>
      <c r="E102" s="76" t="n">
        <v>118119</v>
      </c>
      <c r="F102" s="75" t="n">
        <f aca="false">IF(D53="","",IF(16&gt;IF(D56="",10,D56),"",D53*(1+IF(D54="",0,D54))^ROUNDDOWN((16-1)/IF(D55="",5,D55),0)))</f>
        <v>95955.488568</v>
      </c>
      <c r="G102" s="75" t="n">
        <f aca="false">IF(F102="","",IF((IF(D63="",IF($D$36="",0,$D$36),D63))=0,0,MAX(0,4538268.04-(IF(D64&lt;&gt;"",D64,IF($D$38&lt;&gt;"",$D$38,IF((IF(D63="",IF($D$36="",0,$D$36),D63))=0,0,D53/(IF(D63="",IF($D$36="",0,$D$36),D63)))))))*(IF(D63="",IF($D$36="",0,$D$36),D63))))</f>
        <v>0</v>
      </c>
      <c r="H102" s="75" t="n">
        <f aca="false">IF(F102="","",F102+G102)</f>
        <v>95955.488568</v>
      </c>
      <c r="I102" s="75" t="str">
        <f aca="false">IF(E53="","",IF(16&gt;IF(E56="",10,E56),"",E53*(1+IF(E54="",0,E54))^ROUNDDOWN((16-1)/IF(E55="",5,E55),0)))</f>
        <v/>
      </c>
      <c r="J102" s="75" t="str">
        <f aca="false">IF(I102="","",IF((IF(E63="",IF($D$36="",0,$D$36),E63))=0,0,MAX(0,4538268.04-(IF(E64&lt;&gt;"",E64,IF($D$38&lt;&gt;"",$D$38,IF((IF(E63="",IF($D$36="",0,$D$36),E63))=0,0,E53/(IF(E63="",IF($D$36="",0,$D$36),E63)))))))*(IF(E63="",IF($D$36="",0,$D$36),E63))))</f>
        <v/>
      </c>
      <c r="K102" s="75" t="str">
        <f aca="false">IF(I102="","",I102+J102)</f>
        <v/>
      </c>
      <c r="L102" s="75" t="str">
        <f aca="false">IF(F53="","",IF(16&gt;IF(F56="",10,F56),"",F53*(1+IF(F54="",0,F54))^ROUNDDOWN((16-1)/IF(F55="",5,F55),0)))</f>
        <v/>
      </c>
      <c r="M102" s="75" t="str">
        <f aca="false">IF(L102="","",IF((IF(F63="",IF($D$36="",0,$D$36),F63))=0,0,MAX(0,4538268.04-(IF(F64&lt;&gt;"",F64,IF($D$38&lt;&gt;"",$D$38,IF((IF(F63="",IF($D$36="",0,$D$36),F63))=0,0,F53/(IF(F63="",IF($D$36="",0,$D$36),F63)))))))*(IF(F63="",IF($D$36="",0,$D$36),F63))))</f>
        <v/>
      </c>
      <c r="N102" s="75" t="str">
        <f aca="false">IF(L102="","",L102+M102)</f>
        <v/>
      </c>
      <c r="O102" s="75" t="str">
        <f aca="false">IF(G53="","",IF(16&gt;IF(G56="",10,G56),"",G53*(1+IF(G54="",0,G54))^ROUNDDOWN((16-1)/IF(G55="",5,G55),0)))</f>
        <v/>
      </c>
      <c r="P102" s="75" t="str">
        <f aca="false">IF(O102="","",IF((IF(G63="",IF($D$36="",0,$D$36),G63))=0,0,MAX(0,4538268.04-(IF(G64&lt;&gt;"",G64,IF($D$38&lt;&gt;"",$D$38,IF((IF(G63="",IF($D$36="",0,$D$36),G63))=0,0,G53/(IF(G63="",IF($D$36="",0,$D$36),G63)))))))*(IF(G63="",IF($D$36="",0,$D$36),G63))))</f>
        <v/>
      </c>
      <c r="Q102" s="75" t="str">
        <f aca="false">IF(O102="","",O102+P102)</f>
        <v/>
      </c>
      <c r="R102" s="75" t="str">
        <f aca="false">IF(H53="","",IF(16&gt;IF(H56="",10,H56),"",H53*(1+IF(H54="",0,H54))^ROUNDDOWN((16-1)/IF(H55="",5,H55),0)))</f>
        <v/>
      </c>
      <c r="S102" s="75" t="str">
        <f aca="false">IF(R102="","",IF((IF(H63="",IF($D$36="",0,$D$36),H63))=0,0,MAX(0,4538268.04-(IF(H64&lt;&gt;"",H64,IF($D$38&lt;&gt;"",$D$38,IF((IF(H63="",IF($D$36="",0,$D$36),H63))=0,0,H53/(IF(H63="",IF($D$36="",0,$D$36),H63)))))))*(IF(H63="",IF($D$36="",0,$D$36),H63))))</f>
        <v/>
      </c>
      <c r="T102" s="75" t="str">
        <f aca="false">IF(R102="","",R102+S102)</f>
        <v/>
      </c>
    </row>
    <row r="103" customFormat="false" ht="15" hidden="false" customHeight="false" outlineLevel="0" collapsed="false">
      <c r="A103" s="74" t="n">
        <v>17</v>
      </c>
      <c r="B103" s="75" t="n">
        <v>4629033</v>
      </c>
      <c r="C103" s="76" t="n">
        <v>118119</v>
      </c>
      <c r="D103" s="76" t="n">
        <v>0</v>
      </c>
      <c r="E103" s="76" t="n">
        <v>118119</v>
      </c>
      <c r="F103" s="75" t="n">
        <f aca="false">IF(D53="","",IF(17&gt;IF(D56="",10,D56),"",D53*(1+IF(D54="",0,D54))^ROUNDDOWN((17-1)/IF(D55="",5,D55),0)))</f>
        <v>95955.488568</v>
      </c>
      <c r="G103" s="75" t="n">
        <f aca="false">IF(F103="","",IF((IF(D63="",IF($D$36="",0,$D$36),D63))=0,0,MAX(0,4629033.4-(IF(D64&lt;&gt;"",D64,IF($D$38&lt;&gt;"",$D$38,IF((IF(D63="",IF($D$36="",0,$D$36),D63))=0,0,D53/(IF(D63="",IF($D$36="",0,$D$36),D63)))))))*(IF(D63="",IF($D$36="",0,$D$36),D63))))</f>
        <v>0</v>
      </c>
      <c r="H103" s="75" t="n">
        <f aca="false">IF(F103="","",F103+G103)</f>
        <v>95955.488568</v>
      </c>
      <c r="I103" s="75" t="str">
        <f aca="false">IF(E53="","",IF(17&gt;IF(E56="",10,E56),"",E53*(1+IF(E54="",0,E54))^ROUNDDOWN((17-1)/IF(E55="",5,E55),0)))</f>
        <v/>
      </c>
      <c r="J103" s="75" t="str">
        <f aca="false">IF(I103="","",IF((IF(E63="",IF($D$36="",0,$D$36),E63))=0,0,MAX(0,4629033.4-(IF(E64&lt;&gt;"",E64,IF($D$38&lt;&gt;"",$D$38,IF((IF(E63="",IF($D$36="",0,$D$36),E63))=0,0,E53/(IF(E63="",IF($D$36="",0,$D$36),E63)))))))*(IF(E63="",IF($D$36="",0,$D$36),E63))))</f>
        <v/>
      </c>
      <c r="K103" s="75" t="str">
        <f aca="false">IF(I103="","",I103+J103)</f>
        <v/>
      </c>
      <c r="L103" s="75" t="str">
        <f aca="false">IF(F53="","",IF(17&gt;IF(F56="",10,F56),"",F53*(1+IF(F54="",0,F54))^ROUNDDOWN((17-1)/IF(F55="",5,F55),0)))</f>
        <v/>
      </c>
      <c r="M103" s="75" t="str">
        <f aca="false">IF(L103="","",IF((IF(F63="",IF($D$36="",0,$D$36),F63))=0,0,MAX(0,4629033.4-(IF(F64&lt;&gt;"",F64,IF($D$38&lt;&gt;"",$D$38,IF((IF(F63="",IF($D$36="",0,$D$36),F63))=0,0,F53/(IF(F63="",IF($D$36="",0,$D$36),F63)))))))*(IF(F63="",IF($D$36="",0,$D$36),F63))))</f>
        <v/>
      </c>
      <c r="N103" s="75" t="str">
        <f aca="false">IF(L103="","",L103+M103)</f>
        <v/>
      </c>
      <c r="O103" s="75" t="str">
        <f aca="false">IF(G53="","",IF(17&gt;IF(G56="",10,G56),"",G53*(1+IF(G54="",0,G54))^ROUNDDOWN((17-1)/IF(G55="",5,G55),0)))</f>
        <v/>
      </c>
      <c r="P103" s="75" t="str">
        <f aca="false">IF(O103="","",IF((IF(G63="",IF($D$36="",0,$D$36),G63))=0,0,MAX(0,4629033.4-(IF(G64&lt;&gt;"",G64,IF($D$38&lt;&gt;"",$D$38,IF((IF(G63="",IF($D$36="",0,$D$36),G63))=0,0,G53/(IF(G63="",IF($D$36="",0,$D$36),G63)))))))*(IF(G63="",IF($D$36="",0,$D$36),G63))))</f>
        <v/>
      </c>
      <c r="Q103" s="75" t="str">
        <f aca="false">IF(O103="","",O103+P103)</f>
        <v/>
      </c>
      <c r="R103" s="75" t="str">
        <f aca="false">IF(H53="","",IF(17&gt;IF(H56="",10,H56),"",H53*(1+IF(H54="",0,H54))^ROUNDDOWN((17-1)/IF(H55="",5,H55),0)))</f>
        <v/>
      </c>
      <c r="S103" s="75" t="str">
        <f aca="false">IF(R103="","",IF((IF(H63="",IF($D$36="",0,$D$36),H63))=0,0,MAX(0,4629033.4-(IF(H64&lt;&gt;"",H64,IF($D$38&lt;&gt;"",$D$38,IF((IF(H63="",IF($D$36="",0,$D$36),H63))=0,0,H53/(IF(H63="",IF($D$36="",0,$D$36),H63)))))))*(IF(H63="",IF($D$36="",0,$D$36),H63))))</f>
        <v/>
      </c>
      <c r="T103" s="75" t="str">
        <f aca="false">IF(R103="","",R103+S103)</f>
        <v/>
      </c>
    </row>
    <row r="104" customFormat="false" ht="15" hidden="false" customHeight="false" outlineLevel="0" collapsed="false">
      <c r="A104" s="74" t="n">
        <v>18</v>
      </c>
      <c r="B104" s="75" t="n">
        <v>4721614</v>
      </c>
      <c r="C104" s="76" t="n">
        <v>118119</v>
      </c>
      <c r="D104" s="76" t="n">
        <v>0</v>
      </c>
      <c r="E104" s="76" t="n">
        <v>118119</v>
      </c>
      <c r="F104" s="75" t="n">
        <f aca="false">IF(D53="","",IF(18&gt;IF(D56="",10,D56),"",D53*(1+IF(D54="",0,D54))^ROUNDDOWN((18-1)/IF(D55="",5,D55),0)))</f>
        <v>95955.488568</v>
      </c>
      <c r="G104" s="75" t="n">
        <f aca="false">IF(F104="","",IF((IF(D63="",IF($D$36="",0,$D$36),D63))=0,0,MAX(0,4721614.07-(IF(D64&lt;&gt;"",D64,IF($D$38&lt;&gt;"",$D$38,IF((IF(D63="",IF($D$36="",0,$D$36),D63))=0,0,D53/(IF(D63="",IF($D$36="",0,$D$36),D63)))))))*(IF(D63="",IF($D$36="",0,$D$36),D63))))</f>
        <v>0</v>
      </c>
      <c r="H104" s="75" t="n">
        <f aca="false">IF(F104="","",F104+G104)</f>
        <v>95955.488568</v>
      </c>
      <c r="I104" s="75" t="str">
        <f aca="false">IF(E53="","",IF(18&gt;IF(E56="",10,E56),"",E53*(1+IF(E54="",0,E54))^ROUNDDOWN((18-1)/IF(E55="",5,E55),0)))</f>
        <v/>
      </c>
      <c r="J104" s="75" t="str">
        <f aca="false">IF(I104="","",IF((IF(E63="",IF($D$36="",0,$D$36),E63))=0,0,MAX(0,4721614.07-(IF(E64&lt;&gt;"",E64,IF($D$38&lt;&gt;"",$D$38,IF((IF(E63="",IF($D$36="",0,$D$36),E63))=0,0,E53/(IF(E63="",IF($D$36="",0,$D$36),E63)))))))*(IF(E63="",IF($D$36="",0,$D$36),E63))))</f>
        <v/>
      </c>
      <c r="K104" s="75" t="str">
        <f aca="false">IF(I104="","",I104+J104)</f>
        <v/>
      </c>
      <c r="L104" s="75" t="str">
        <f aca="false">IF(F53="","",IF(18&gt;IF(F56="",10,F56),"",F53*(1+IF(F54="",0,F54))^ROUNDDOWN((18-1)/IF(F55="",5,F55),0)))</f>
        <v/>
      </c>
      <c r="M104" s="75" t="str">
        <f aca="false">IF(L104="","",IF((IF(F63="",IF($D$36="",0,$D$36),F63))=0,0,MAX(0,4721614.07-(IF(F64&lt;&gt;"",F64,IF($D$38&lt;&gt;"",$D$38,IF((IF(F63="",IF($D$36="",0,$D$36),F63))=0,0,F53/(IF(F63="",IF($D$36="",0,$D$36),F63)))))))*(IF(F63="",IF($D$36="",0,$D$36),F63))))</f>
        <v/>
      </c>
      <c r="N104" s="75" t="str">
        <f aca="false">IF(L104="","",L104+M104)</f>
        <v/>
      </c>
      <c r="O104" s="75" t="str">
        <f aca="false">IF(G53="","",IF(18&gt;IF(G56="",10,G56),"",G53*(1+IF(G54="",0,G54))^ROUNDDOWN((18-1)/IF(G55="",5,G55),0)))</f>
        <v/>
      </c>
      <c r="P104" s="75" t="str">
        <f aca="false">IF(O104="","",IF((IF(G63="",IF($D$36="",0,$D$36),G63))=0,0,MAX(0,4721614.07-(IF(G64&lt;&gt;"",G64,IF($D$38&lt;&gt;"",$D$38,IF((IF(G63="",IF($D$36="",0,$D$36),G63))=0,0,G53/(IF(G63="",IF($D$36="",0,$D$36),G63)))))))*(IF(G63="",IF($D$36="",0,$D$36),G63))))</f>
        <v/>
      </c>
      <c r="Q104" s="75" t="str">
        <f aca="false">IF(O104="","",O104+P104)</f>
        <v/>
      </c>
      <c r="R104" s="75" t="str">
        <f aca="false">IF(H53="","",IF(18&gt;IF(H56="",10,H56),"",H53*(1+IF(H54="",0,H54))^ROUNDDOWN((18-1)/IF(H55="",5,H55),0)))</f>
        <v/>
      </c>
      <c r="S104" s="75" t="str">
        <f aca="false">IF(R104="","",IF((IF(H63="",IF($D$36="",0,$D$36),H63))=0,0,MAX(0,4721614.07-(IF(H64&lt;&gt;"",H64,IF($D$38&lt;&gt;"",$D$38,IF((IF(H63="",IF($D$36="",0,$D$36),H63))=0,0,H53/(IF(H63="",IF($D$36="",0,$D$36),H63)))))))*(IF(H63="",IF($D$36="",0,$D$36),H63))))</f>
        <v/>
      </c>
      <c r="T104" s="75" t="str">
        <f aca="false">IF(R104="","",R104+S104)</f>
        <v/>
      </c>
    </row>
    <row r="105" customFormat="false" ht="15" hidden="false" customHeight="false" outlineLevel="0" collapsed="false">
      <c r="A105" s="74" t="n">
        <v>19</v>
      </c>
      <c r="B105" s="75" t="n">
        <v>4816046</v>
      </c>
      <c r="C105" s="76" t="n">
        <v>118119</v>
      </c>
      <c r="D105" s="76" t="n">
        <v>0</v>
      </c>
      <c r="E105" s="76" t="n">
        <v>118119</v>
      </c>
      <c r="F105" s="75" t="n">
        <f aca="false">IF(D53="","",IF(19&gt;IF(D56="",10,D56),"",D53*(1+IF(D54="",0,D54))^ROUNDDOWN((19-1)/IF(D55="",5,D55),0)))</f>
        <v>95955.488568</v>
      </c>
      <c r="G105" s="75" t="n">
        <f aca="false">IF(F105="","",IF((IF(D63="",IF($D$36="",0,$D$36),D63))=0,0,MAX(0,4816046.35-(IF(D64&lt;&gt;"",D64,IF($D$38&lt;&gt;"",$D$38,IF((IF(D63="",IF($D$36="",0,$D$36),D63))=0,0,D53/(IF(D63="",IF($D$36="",0,$D$36),D63)))))))*(IF(D63="",IF($D$36="",0,$D$36),D63))))</f>
        <v>0</v>
      </c>
      <c r="H105" s="75" t="n">
        <f aca="false">IF(F105="","",F105+G105)</f>
        <v>95955.488568</v>
      </c>
      <c r="I105" s="75" t="str">
        <f aca="false">IF(E53="","",IF(19&gt;IF(E56="",10,E56),"",E53*(1+IF(E54="",0,E54))^ROUNDDOWN((19-1)/IF(E55="",5,E55),0)))</f>
        <v/>
      </c>
      <c r="J105" s="75" t="str">
        <f aca="false">IF(I105="","",IF((IF(E63="",IF($D$36="",0,$D$36),E63))=0,0,MAX(0,4816046.35-(IF(E64&lt;&gt;"",E64,IF($D$38&lt;&gt;"",$D$38,IF((IF(E63="",IF($D$36="",0,$D$36),E63))=0,0,E53/(IF(E63="",IF($D$36="",0,$D$36),E63)))))))*(IF(E63="",IF($D$36="",0,$D$36),E63))))</f>
        <v/>
      </c>
      <c r="K105" s="75" t="str">
        <f aca="false">IF(I105="","",I105+J105)</f>
        <v/>
      </c>
      <c r="L105" s="75" t="str">
        <f aca="false">IF(F53="","",IF(19&gt;IF(F56="",10,F56),"",F53*(1+IF(F54="",0,F54))^ROUNDDOWN((19-1)/IF(F55="",5,F55),0)))</f>
        <v/>
      </c>
      <c r="M105" s="75" t="str">
        <f aca="false">IF(L105="","",IF((IF(F63="",IF($D$36="",0,$D$36),F63))=0,0,MAX(0,4816046.35-(IF(F64&lt;&gt;"",F64,IF($D$38&lt;&gt;"",$D$38,IF((IF(F63="",IF($D$36="",0,$D$36),F63))=0,0,F53/(IF(F63="",IF($D$36="",0,$D$36),F63)))))))*(IF(F63="",IF($D$36="",0,$D$36),F63))))</f>
        <v/>
      </c>
      <c r="N105" s="75" t="str">
        <f aca="false">IF(L105="","",L105+M105)</f>
        <v/>
      </c>
      <c r="O105" s="75" t="str">
        <f aca="false">IF(G53="","",IF(19&gt;IF(G56="",10,G56),"",G53*(1+IF(G54="",0,G54))^ROUNDDOWN((19-1)/IF(G55="",5,G55),0)))</f>
        <v/>
      </c>
      <c r="P105" s="75" t="str">
        <f aca="false">IF(O105="","",IF((IF(G63="",IF($D$36="",0,$D$36),G63))=0,0,MAX(0,4816046.35-(IF(G64&lt;&gt;"",G64,IF($D$38&lt;&gt;"",$D$38,IF((IF(G63="",IF($D$36="",0,$D$36),G63))=0,0,G53/(IF(G63="",IF($D$36="",0,$D$36),G63)))))))*(IF(G63="",IF($D$36="",0,$D$36),G63))))</f>
        <v/>
      </c>
      <c r="Q105" s="75" t="str">
        <f aca="false">IF(O105="","",O105+P105)</f>
        <v/>
      </c>
      <c r="R105" s="75" t="str">
        <f aca="false">IF(H53="","",IF(19&gt;IF(H56="",10,H56),"",H53*(1+IF(H54="",0,H54))^ROUNDDOWN((19-1)/IF(H55="",5,H55),0)))</f>
        <v/>
      </c>
      <c r="S105" s="75" t="str">
        <f aca="false">IF(R105="","",IF((IF(H63="",IF($D$36="",0,$D$36),H63))=0,0,MAX(0,4816046.35-(IF(H64&lt;&gt;"",H64,IF($D$38&lt;&gt;"",$D$38,IF((IF(H63="",IF($D$36="",0,$D$36),H63))=0,0,H53/(IF(H63="",IF($D$36="",0,$D$36),H63)))))))*(IF(H63="",IF($D$36="",0,$D$36),H63))))</f>
        <v/>
      </c>
      <c r="T105" s="75" t="str">
        <f aca="false">IF(R105="","",R105+S105)</f>
        <v/>
      </c>
    </row>
    <row r="106" customFormat="false" ht="15" hidden="false" customHeight="false" outlineLevel="0" collapsed="false">
      <c r="A106" s="74" t="n">
        <v>20</v>
      </c>
      <c r="B106" s="75" t="n">
        <v>4912367</v>
      </c>
      <c r="C106" s="76" t="n">
        <v>118119</v>
      </c>
      <c r="D106" s="76" t="n">
        <v>0</v>
      </c>
      <c r="E106" s="76" t="n">
        <v>118119</v>
      </c>
      <c r="F106" s="75" t="n">
        <f aca="false">IF(D53="","",IF(20&gt;IF(D56="",10,D56),"",D53*(1+IF(D54="",0,D54))^ROUNDDOWN((20-1)/IF(D55="",5,D55),0)))</f>
        <v>95955.488568</v>
      </c>
      <c r="G106" s="75" t="n">
        <f aca="false">IF(F106="","",IF((IF(D63="",IF($D$36="",0,$D$36),D63))=0,0,MAX(0,4912367.27-(IF(D64&lt;&gt;"",D64,IF($D$38&lt;&gt;"",$D$38,IF((IF(D63="",IF($D$36="",0,$D$36),D63))=0,0,D53/(IF(D63="",IF($D$36="",0,$D$36),D63)))))))*(IF(D63="",IF($D$36="",0,$D$36),D63))))</f>
        <v>0</v>
      </c>
      <c r="H106" s="75" t="n">
        <f aca="false">IF(F106="","",F106+G106)</f>
        <v>95955.488568</v>
      </c>
      <c r="I106" s="75" t="str">
        <f aca="false">IF(E53="","",IF(20&gt;IF(E56="",10,E56),"",E53*(1+IF(E54="",0,E54))^ROUNDDOWN((20-1)/IF(E55="",5,E55),0)))</f>
        <v/>
      </c>
      <c r="J106" s="75" t="str">
        <f aca="false">IF(I106="","",IF((IF(E63="",IF($D$36="",0,$D$36),E63))=0,0,MAX(0,4912367.27-(IF(E64&lt;&gt;"",E64,IF($D$38&lt;&gt;"",$D$38,IF((IF(E63="",IF($D$36="",0,$D$36),E63))=0,0,E53/(IF(E63="",IF($D$36="",0,$D$36),E63)))))))*(IF(E63="",IF($D$36="",0,$D$36),E63))))</f>
        <v/>
      </c>
      <c r="K106" s="75" t="str">
        <f aca="false">IF(I106="","",I106+J106)</f>
        <v/>
      </c>
      <c r="L106" s="75" t="str">
        <f aca="false">IF(F53="","",IF(20&gt;IF(F56="",10,F56),"",F53*(1+IF(F54="",0,F54))^ROUNDDOWN((20-1)/IF(F55="",5,F55),0)))</f>
        <v/>
      </c>
      <c r="M106" s="75" t="str">
        <f aca="false">IF(L106="","",IF((IF(F63="",IF($D$36="",0,$D$36),F63))=0,0,MAX(0,4912367.27-(IF(F64&lt;&gt;"",F64,IF($D$38&lt;&gt;"",$D$38,IF((IF(F63="",IF($D$36="",0,$D$36),F63))=0,0,F53/(IF(F63="",IF($D$36="",0,$D$36),F63)))))))*(IF(F63="",IF($D$36="",0,$D$36),F63))))</f>
        <v/>
      </c>
      <c r="N106" s="75" t="str">
        <f aca="false">IF(L106="","",L106+M106)</f>
        <v/>
      </c>
      <c r="O106" s="75" t="str">
        <f aca="false">IF(G53="","",IF(20&gt;IF(G56="",10,G56),"",G53*(1+IF(G54="",0,G54))^ROUNDDOWN((20-1)/IF(G55="",5,G55),0)))</f>
        <v/>
      </c>
      <c r="P106" s="75" t="str">
        <f aca="false">IF(O106="","",IF((IF(G63="",IF($D$36="",0,$D$36),G63))=0,0,MAX(0,4912367.27-(IF(G64&lt;&gt;"",G64,IF($D$38&lt;&gt;"",$D$38,IF((IF(G63="",IF($D$36="",0,$D$36),G63))=0,0,G53/(IF(G63="",IF($D$36="",0,$D$36),G63)))))))*(IF(G63="",IF($D$36="",0,$D$36),G63))))</f>
        <v/>
      </c>
      <c r="Q106" s="75" t="str">
        <f aca="false">IF(O106="","",O106+P106)</f>
        <v/>
      </c>
      <c r="R106" s="75" t="str">
        <f aca="false">IF(H53="","",IF(20&gt;IF(H56="",10,H56),"",H53*(1+IF(H54="",0,H54))^ROUNDDOWN((20-1)/IF(H55="",5,H55),0)))</f>
        <v/>
      </c>
      <c r="S106" s="75" t="str">
        <f aca="false">IF(R106="","",IF((IF(H63="",IF($D$36="",0,$D$36),H63))=0,0,MAX(0,4912367.27-(IF(H64&lt;&gt;"",H64,IF($D$38&lt;&gt;"",$D$38,IF((IF(H63="",IF($D$36="",0,$D$36),H63))=0,0,H53/(IF(H63="",IF($D$36="",0,$D$36),H63)))))))*(IF(H63="",IF($D$36="",0,$D$36),H63))))</f>
        <v/>
      </c>
      <c r="T106" s="75" t="str">
        <f aca="false">IF(R106="","",R106+S106)</f>
        <v/>
      </c>
    </row>
    <row r="107" customFormat="false" ht="15" hidden="false" customHeight="false" outlineLevel="0" collapsed="false">
      <c r="A107" s="77" t="s">
        <v>394</v>
      </c>
      <c r="C107" s="78" t="n">
        <f aca="false">IF(COUNT(C87:C106)=0,"",SUM(C87:C106))</f>
        <v>2077185</v>
      </c>
      <c r="D107" s="78" t="n">
        <f aca="false">IF(COUNT(D87:D106)=0,"",SUM(D87:D106))</f>
        <v>0</v>
      </c>
      <c r="E107" s="78" t="n">
        <f aca="false">IF(COUNT(E87:E106)=0,"",SUM(E87:E106))</f>
        <v>2077185</v>
      </c>
      <c r="F107" s="78" t="n">
        <f aca="false">IF(COUNT(F87:F106)=0,"",SUM(F87:F106))</f>
        <v>1863399.58484</v>
      </c>
      <c r="G107" s="78" t="n">
        <f aca="false">IF(COUNT(G87:G106)=0,"",SUM(G87:G106))</f>
        <v>0</v>
      </c>
      <c r="H107" s="78" t="n">
        <f aca="false">IF(COUNT(H87:H106)=0,"",SUM(H87:H106))</f>
        <v>1863399.58484</v>
      </c>
      <c r="I107" s="78" t="str">
        <f aca="false">IF(COUNT(I87:I106)=0,"",SUM(I87:I106))</f>
        <v/>
      </c>
      <c r="J107" s="78" t="str">
        <f aca="false">IF(COUNT(J87:J106)=0,"",SUM(J87:J106))</f>
        <v/>
      </c>
      <c r="K107" s="78" t="str">
        <f aca="false">IF(COUNT(K87:K106)=0,"",SUM(K87:K106))</f>
        <v/>
      </c>
      <c r="L107" s="78" t="str">
        <f aca="false">IF(COUNT(L87:L106)=0,"",SUM(L87:L106))</f>
        <v/>
      </c>
      <c r="M107" s="78" t="str">
        <f aca="false">IF(COUNT(M87:M106)=0,"",SUM(M87:M106))</f>
        <v/>
      </c>
      <c r="N107" s="78" t="str">
        <f aca="false">IF(COUNT(N87:N106)=0,"",SUM(N87:N106))</f>
        <v/>
      </c>
      <c r="O107" s="78" t="str">
        <f aca="false">IF(COUNT(O87:O106)=0,"",SUM(O87:O106))</f>
        <v/>
      </c>
      <c r="P107" s="78" t="str">
        <f aca="false">IF(COUNT(P87:P106)=0,"",SUM(P87:P106))</f>
        <v/>
      </c>
      <c r="Q107" s="78" t="str">
        <f aca="false">IF(COUNT(Q87:Q106)=0,"",SUM(Q87:Q106))</f>
        <v/>
      </c>
      <c r="R107" s="78" t="str">
        <f aca="false">IF(COUNT(R87:R106)=0,"",SUM(R87:R106))</f>
        <v/>
      </c>
      <c r="S107" s="78" t="str">
        <f aca="false">IF(COUNT(S87:S106)=0,"",SUM(S87:S106))</f>
        <v/>
      </c>
      <c r="T107" s="78" t="str">
        <f aca="false">IF(COUNT(T87:T106)=0,"",SUM(T87:T106))</f>
        <v/>
      </c>
    </row>
    <row r="108" customFormat="false" ht="15" hidden="false" customHeight="false" outlineLevel="0" collapsed="false">
      <c r="A108" s="69" t="s">
        <v>395</v>
      </c>
      <c r="B108" s="69"/>
      <c r="C108" s="69"/>
      <c r="D108" s="69"/>
      <c r="E108" s="69"/>
      <c r="F108" s="69"/>
      <c r="G108" s="69"/>
      <c r="H108" s="69"/>
      <c r="I108" s="69"/>
      <c r="J108" s="69"/>
      <c r="K108" s="69"/>
      <c r="L108" s="69"/>
      <c r="M108" s="69"/>
      <c r="N108" s="69"/>
      <c r="O108" s="69"/>
      <c r="P108" s="69"/>
      <c r="Q108" s="69"/>
      <c r="R108" s="69"/>
      <c r="S108" s="69"/>
      <c r="T108" s="69"/>
    </row>
  </sheetData>
  <mergeCells count="84">
    <mergeCell ref="A2:J2"/>
    <mergeCell ref="A3:J3"/>
    <mergeCell ref="A4:J4"/>
    <mergeCell ref="A5:J5"/>
    <mergeCell ref="A6:J6"/>
    <mergeCell ref="A7:J7"/>
    <mergeCell ref="A8:J8"/>
    <mergeCell ref="A10:C10"/>
    <mergeCell ref="D10:J10"/>
    <mergeCell ref="A11:C11"/>
    <mergeCell ref="D11:J11"/>
    <mergeCell ref="A12:C12"/>
    <mergeCell ref="D12:J12"/>
    <mergeCell ref="A13:C13"/>
    <mergeCell ref="D13:J13"/>
    <mergeCell ref="A14:C14"/>
    <mergeCell ref="D14:J14"/>
    <mergeCell ref="G17:J17"/>
    <mergeCell ref="G18:J18"/>
    <mergeCell ref="G19:J19"/>
    <mergeCell ref="G20:J20"/>
    <mergeCell ref="G21:J21"/>
    <mergeCell ref="A22:D22"/>
    <mergeCell ref="A23:J23"/>
    <mergeCell ref="A26:C26"/>
    <mergeCell ref="A27:C27"/>
    <mergeCell ref="E27:J27"/>
    <mergeCell ref="A28:C28"/>
    <mergeCell ref="E28:J28"/>
    <mergeCell ref="A29:C29"/>
    <mergeCell ref="A30:C30"/>
    <mergeCell ref="A31:C31"/>
    <mergeCell ref="E31:J31"/>
    <mergeCell ref="A32:J32"/>
    <mergeCell ref="A33:J33"/>
    <mergeCell ref="A36:C36"/>
    <mergeCell ref="E36:J36"/>
    <mergeCell ref="A37:C37"/>
    <mergeCell ref="E37:J37"/>
    <mergeCell ref="A38:C38"/>
    <mergeCell ref="E38:J38"/>
    <mergeCell ref="A39:C39"/>
    <mergeCell ref="E39:J39"/>
    <mergeCell ref="A40:C40"/>
    <mergeCell ref="A41:C41"/>
    <mergeCell ref="A42:C42"/>
    <mergeCell ref="A43:C43"/>
    <mergeCell ref="A48:G48"/>
    <mergeCell ref="A51:C51"/>
    <mergeCell ref="A52:C52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2:C62"/>
    <mergeCell ref="A63:C63"/>
    <mergeCell ref="A64:C64"/>
    <mergeCell ref="A65:C65"/>
    <mergeCell ref="A66:C66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8:J78"/>
    <mergeCell ref="A80:J80"/>
    <mergeCell ref="A84:T84"/>
    <mergeCell ref="C85:E85"/>
    <mergeCell ref="F85:H85"/>
    <mergeCell ref="I85:K85"/>
    <mergeCell ref="L85:N85"/>
    <mergeCell ref="O85:Q85"/>
    <mergeCell ref="R85:T85"/>
    <mergeCell ref="A108:T108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T10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6"/>
    <col collapsed="false" customWidth="true" hidden="false" outlineLevel="0" max="2" min="2" style="0" width="22"/>
    <col collapsed="false" customWidth="true" hidden="false" outlineLevel="0" max="3" min="3" style="0" width="11"/>
    <col collapsed="false" customWidth="true" hidden="false" outlineLevel="0" max="4" min="4" style="0" width="14"/>
    <col collapsed="false" customWidth="true" hidden="false" outlineLevel="0" max="6" min="5" style="0" width="12"/>
    <col collapsed="false" customWidth="true" hidden="false" outlineLevel="0" max="7" min="7" style="0" width="14"/>
    <col collapsed="false" customWidth="true" hidden="false" outlineLevel="0" max="9" min="8" style="0" width="13"/>
    <col collapsed="false" customWidth="true" hidden="false" outlineLevel="0" max="10" min="10" style="0" width="26"/>
  </cols>
  <sheetData>
    <row r="1" customFormat="false" ht="16.15" hidden="false" customHeight="false" outlineLevel="0" collapsed="false">
      <c r="A1" s="3" t="s">
        <v>828</v>
      </c>
    </row>
    <row r="2" customFormat="false" ht="25.5" hidden="false" customHeight="true" outlineLevel="0" collapsed="false">
      <c r="A2" s="12" t="s">
        <v>251</v>
      </c>
      <c r="B2" s="12"/>
      <c r="C2" s="12"/>
      <c r="D2" s="12"/>
      <c r="E2" s="12"/>
      <c r="F2" s="12"/>
      <c r="G2" s="12"/>
      <c r="H2" s="12"/>
      <c r="I2" s="12"/>
      <c r="J2" s="12"/>
    </row>
    <row r="3" customFormat="false" ht="15" hidden="false" customHeight="true" outlineLevel="0" collapsed="false">
      <c r="A3" s="16" t="s">
        <v>829</v>
      </c>
      <c r="B3" s="16"/>
      <c r="C3" s="16"/>
      <c r="D3" s="16"/>
      <c r="E3" s="16"/>
      <c r="F3" s="16"/>
      <c r="G3" s="16"/>
      <c r="H3" s="16"/>
      <c r="I3" s="16"/>
      <c r="J3" s="16"/>
    </row>
    <row r="4" customFormat="false" ht="30" hidden="false" customHeight="true" outlineLevel="0" collapsed="false">
      <c r="A4" s="17" t="s">
        <v>89</v>
      </c>
      <c r="B4" s="17"/>
      <c r="C4" s="17"/>
      <c r="D4" s="17"/>
      <c r="E4" s="17"/>
      <c r="F4" s="17"/>
      <c r="G4" s="17"/>
      <c r="H4" s="17"/>
      <c r="I4" s="17"/>
      <c r="J4" s="17"/>
    </row>
    <row r="5" customFormat="false" ht="15" hidden="false" customHeight="true" outlineLevel="0" collapsed="false">
      <c r="A5" s="18" t="s">
        <v>17</v>
      </c>
      <c r="B5" s="18"/>
      <c r="C5" s="18"/>
      <c r="D5" s="18"/>
      <c r="E5" s="18"/>
      <c r="F5" s="18"/>
      <c r="G5" s="18"/>
      <c r="H5" s="18"/>
      <c r="I5" s="18"/>
      <c r="J5" s="18"/>
    </row>
    <row r="6" customFormat="false" ht="15" hidden="false" customHeight="true" outlineLevel="0" collapsed="false">
      <c r="A6" s="19" t="s">
        <v>90</v>
      </c>
      <c r="B6" s="19"/>
      <c r="C6" s="19"/>
      <c r="D6" s="19"/>
      <c r="E6" s="19"/>
      <c r="F6" s="19"/>
      <c r="G6" s="19"/>
      <c r="H6" s="19"/>
      <c r="I6" s="19"/>
      <c r="J6" s="19"/>
    </row>
    <row r="7" customFormat="false" ht="23.85" hidden="false" customHeight="true" outlineLevel="0" collapsed="false">
      <c r="A7" s="20" t="s">
        <v>830</v>
      </c>
      <c r="B7" s="20"/>
      <c r="C7" s="20"/>
      <c r="D7" s="20"/>
      <c r="E7" s="20"/>
      <c r="F7" s="20"/>
      <c r="G7" s="20"/>
      <c r="H7" s="20"/>
      <c r="I7" s="20"/>
      <c r="J7" s="20"/>
    </row>
    <row r="8" customFormat="false" ht="15" hidden="false" customHeight="true" outlineLevel="0" collapsed="false">
      <c r="A8" s="21" t="s">
        <v>254</v>
      </c>
      <c r="B8" s="21"/>
      <c r="C8" s="21"/>
      <c r="D8" s="21"/>
      <c r="E8" s="21"/>
      <c r="F8" s="21"/>
      <c r="G8" s="21"/>
      <c r="H8" s="21"/>
      <c r="I8" s="21"/>
      <c r="J8" s="21"/>
    </row>
    <row r="10" customFormat="false" ht="15" hidden="false" customHeight="true" outlineLevel="0" collapsed="false">
      <c r="A10" s="22" t="s">
        <v>255</v>
      </c>
      <c r="B10" s="22"/>
      <c r="C10" s="22"/>
      <c r="D10" s="23" t="s">
        <v>831</v>
      </c>
      <c r="E10" s="23"/>
      <c r="F10" s="23"/>
      <c r="G10" s="23"/>
      <c r="H10" s="23"/>
      <c r="I10" s="23"/>
      <c r="J10" s="23"/>
    </row>
    <row r="11" customFormat="false" ht="15" hidden="false" customHeight="true" outlineLevel="0" collapsed="false">
      <c r="A11" s="22" t="s">
        <v>257</v>
      </c>
      <c r="B11" s="22"/>
      <c r="C11" s="22"/>
      <c r="D11" s="23" t="s">
        <v>832</v>
      </c>
      <c r="E11" s="23"/>
      <c r="F11" s="23"/>
      <c r="G11" s="23"/>
      <c r="H11" s="23"/>
      <c r="I11" s="23"/>
      <c r="J11" s="23"/>
    </row>
    <row r="12" customFormat="false" ht="15" hidden="false" customHeight="true" outlineLevel="0" collapsed="false">
      <c r="A12" s="22" t="s">
        <v>259</v>
      </c>
      <c r="B12" s="22"/>
      <c r="C12" s="22"/>
      <c r="D12" s="86"/>
      <c r="E12" s="86"/>
      <c r="F12" s="86"/>
      <c r="G12" s="86"/>
      <c r="H12" s="86"/>
      <c r="I12" s="86"/>
      <c r="J12" s="86"/>
    </row>
    <row r="13" customFormat="false" ht="15" hidden="false" customHeight="true" outlineLevel="0" collapsed="false">
      <c r="A13" s="22" t="s">
        <v>261</v>
      </c>
      <c r="B13" s="22"/>
      <c r="C13" s="22"/>
      <c r="D13" s="24" t="n">
        <v>2902000</v>
      </c>
      <c r="E13" s="24"/>
      <c r="F13" s="24"/>
      <c r="G13" s="24"/>
      <c r="H13" s="24"/>
      <c r="I13" s="24"/>
      <c r="J13" s="24"/>
    </row>
    <row r="14" customFormat="false" ht="35.05" hidden="false" customHeight="true" outlineLevel="0" collapsed="false">
      <c r="A14" s="22" t="s">
        <v>262</v>
      </c>
      <c r="B14" s="22"/>
      <c r="C14" s="22"/>
      <c r="D14" s="22" t="s">
        <v>833</v>
      </c>
      <c r="E14" s="22"/>
      <c r="F14" s="22"/>
      <c r="G14" s="22"/>
      <c r="H14" s="22"/>
      <c r="I14" s="22"/>
      <c r="J14" s="22"/>
    </row>
    <row r="16" customFormat="false" ht="15" hidden="false" customHeight="false" outlineLevel="0" collapsed="false">
      <c r="A16" s="25" t="s">
        <v>264</v>
      </c>
    </row>
    <row r="17" customFormat="false" ht="22.35" hidden="false" customHeight="true" outlineLevel="0" collapsed="false">
      <c r="A17" s="26" t="s">
        <v>265</v>
      </c>
      <c r="B17" s="26" t="s">
        <v>266</v>
      </c>
      <c r="C17" s="26" t="s">
        <v>267</v>
      </c>
      <c r="D17" s="26" t="s">
        <v>268</v>
      </c>
      <c r="E17" s="26" t="s">
        <v>269</v>
      </c>
      <c r="F17" s="26" t="s">
        <v>270</v>
      </c>
      <c r="G17" s="26" t="s">
        <v>271</v>
      </c>
      <c r="H17" s="26"/>
      <c r="I17" s="26"/>
      <c r="J17" s="26"/>
    </row>
    <row r="18" customFormat="false" ht="19.4" hidden="false" customHeight="true" outlineLevel="0" collapsed="false">
      <c r="A18" s="27" t="s">
        <v>536</v>
      </c>
      <c r="B18" s="28" t="s">
        <v>834</v>
      </c>
      <c r="C18" s="28" t="s">
        <v>835</v>
      </c>
      <c r="D18" s="29" t="n">
        <v>10980.75</v>
      </c>
      <c r="E18" s="30" t="n">
        <f aca="false">IF(D18="","",D18*12)</f>
        <v>131769</v>
      </c>
      <c r="F18" s="31" t="n">
        <v>4</v>
      </c>
      <c r="G18" s="32" t="s">
        <v>836</v>
      </c>
      <c r="H18" s="32"/>
      <c r="I18" s="32"/>
      <c r="J18" s="32"/>
    </row>
    <row r="19" customFormat="false" ht="15" hidden="false" customHeight="true" outlineLevel="0" collapsed="false">
      <c r="A19" s="27" t="s">
        <v>837</v>
      </c>
      <c r="B19" s="28" t="s">
        <v>838</v>
      </c>
      <c r="C19" s="28" t="s">
        <v>839</v>
      </c>
      <c r="D19" s="80" t="n">
        <v>12078.83</v>
      </c>
      <c r="E19" s="30" t="n">
        <f aca="false">IF(D19="","",D19*12)</f>
        <v>144945.96</v>
      </c>
      <c r="F19" s="31" t="n">
        <v>5</v>
      </c>
      <c r="G19" s="32" t="s">
        <v>658</v>
      </c>
      <c r="H19" s="32"/>
      <c r="I19" s="32"/>
      <c r="J19" s="32"/>
    </row>
    <row r="20" customFormat="false" ht="23.85" hidden="false" customHeight="true" outlineLevel="0" collapsed="false">
      <c r="A20" s="27" t="s">
        <v>840</v>
      </c>
      <c r="B20" s="28" t="s">
        <v>841</v>
      </c>
      <c r="C20" s="28" t="s">
        <v>842</v>
      </c>
      <c r="D20" s="80" t="n">
        <v>13286.71</v>
      </c>
      <c r="E20" s="30" t="n">
        <f aca="false">IF(D20="","",D20*12)</f>
        <v>159440.52</v>
      </c>
      <c r="F20" s="31" t="n">
        <v>1</v>
      </c>
      <c r="G20" s="32" t="s">
        <v>843</v>
      </c>
      <c r="H20" s="32"/>
      <c r="I20" s="32"/>
      <c r="J20" s="32"/>
    </row>
    <row r="21" customFormat="false" ht="15" hidden="false" customHeight="false" outlineLevel="0" collapsed="false">
      <c r="A21" s="34" t="s">
        <v>284</v>
      </c>
      <c r="B21" s="34"/>
      <c r="C21" s="34"/>
      <c r="D21" s="34"/>
      <c r="E21" s="35" t="n">
        <f aca="false">IF(SUMPRODUCT(E18:E20,F18:F20)=0,"",SUMPRODUCT(E18:E20,F18:F20))</f>
        <v>1411246.32</v>
      </c>
      <c r="F21" s="36"/>
      <c r="G21" s="36"/>
      <c r="H21" s="36"/>
      <c r="I21" s="36"/>
      <c r="J21" s="36"/>
    </row>
    <row r="22" customFormat="false" ht="15" hidden="false" customHeight="false" outlineLevel="0" collapsed="false">
      <c r="A22" s="81" t="s">
        <v>483</v>
      </c>
      <c r="B22" s="81"/>
      <c r="C22" s="81"/>
      <c r="D22" s="81"/>
      <c r="E22" s="81"/>
      <c r="F22" s="81"/>
      <c r="G22" s="81"/>
      <c r="H22" s="81"/>
      <c r="I22" s="81"/>
      <c r="J22" s="81"/>
    </row>
    <row r="24" customFormat="false" ht="15" hidden="false" customHeight="false" outlineLevel="0" collapsed="false">
      <c r="A24" s="25" t="s">
        <v>286</v>
      </c>
    </row>
    <row r="25" customFormat="false" ht="15" hidden="false" customHeight="true" outlineLevel="0" collapsed="false">
      <c r="A25" s="22" t="s">
        <v>287</v>
      </c>
      <c r="B25" s="22"/>
      <c r="C25" s="22"/>
      <c r="D25" s="35" t="n">
        <v>131769</v>
      </c>
      <c r="E25" s="36"/>
      <c r="F25" s="36"/>
      <c r="G25" s="36"/>
      <c r="H25" s="36"/>
      <c r="I25" s="36"/>
      <c r="J25" s="36"/>
    </row>
    <row r="26" customFormat="false" ht="15" hidden="false" customHeight="true" outlineLevel="0" collapsed="false">
      <c r="A26" s="22" t="s">
        <v>288</v>
      </c>
      <c r="B26" s="22"/>
      <c r="C26" s="22"/>
      <c r="D26" s="38" t="n">
        <v>0.0454062715368711</v>
      </c>
      <c r="E26" s="39" t="s">
        <v>289</v>
      </c>
      <c r="F26" s="39"/>
      <c r="G26" s="39"/>
      <c r="H26" s="39"/>
      <c r="I26" s="39"/>
      <c r="J26" s="39"/>
    </row>
    <row r="27" customFormat="false" ht="15" hidden="false" customHeight="true" outlineLevel="0" collapsed="false">
      <c r="A27" s="22" t="s">
        <v>844</v>
      </c>
      <c r="B27" s="22"/>
      <c r="C27" s="22"/>
      <c r="D27" s="35" t="n">
        <v>51740</v>
      </c>
      <c r="E27" s="39" t="s">
        <v>291</v>
      </c>
      <c r="F27" s="39"/>
      <c r="G27" s="39"/>
      <c r="H27" s="39"/>
      <c r="I27" s="39"/>
      <c r="J27" s="39"/>
    </row>
    <row r="28" customFormat="false" ht="15" hidden="false" customHeight="true" outlineLevel="0" collapsed="false">
      <c r="A28" s="22" t="s">
        <v>292</v>
      </c>
      <c r="B28" s="22"/>
      <c r="C28" s="22"/>
      <c r="D28" s="35" t="n">
        <v>0</v>
      </c>
      <c r="E28" s="36"/>
      <c r="F28" s="36"/>
      <c r="G28" s="36"/>
      <c r="H28" s="36"/>
      <c r="I28" s="36"/>
      <c r="J28" s="36"/>
    </row>
    <row r="29" customFormat="false" ht="15" hidden="false" customHeight="true" outlineLevel="0" collapsed="false">
      <c r="A29" s="22" t="s">
        <v>293</v>
      </c>
      <c r="B29" s="22"/>
      <c r="C29" s="22"/>
      <c r="D29" s="35" t="n">
        <v>183509</v>
      </c>
      <c r="E29" s="36"/>
      <c r="F29" s="36"/>
      <c r="G29" s="36"/>
      <c r="H29" s="36"/>
      <c r="I29" s="36"/>
      <c r="J29" s="36"/>
    </row>
    <row r="30" customFormat="false" ht="15" hidden="false" customHeight="true" outlineLevel="0" collapsed="false">
      <c r="A30" s="22" t="s">
        <v>294</v>
      </c>
      <c r="B30" s="22"/>
      <c r="C30" s="22"/>
      <c r="D30" s="38" t="n">
        <v>0.0632353549276361</v>
      </c>
      <c r="E30" s="39" t="s">
        <v>295</v>
      </c>
      <c r="F30" s="39"/>
      <c r="G30" s="39"/>
      <c r="H30" s="39"/>
      <c r="I30" s="39"/>
      <c r="J30" s="39"/>
    </row>
    <row r="31" customFormat="false" ht="27.75" hidden="false" customHeight="true" outlineLevel="0" collapsed="false">
      <c r="A31" s="40" t="s">
        <v>845</v>
      </c>
      <c r="B31" s="40"/>
      <c r="C31" s="40"/>
      <c r="D31" s="40"/>
      <c r="E31" s="40"/>
      <c r="F31" s="40"/>
      <c r="G31" s="40"/>
      <c r="H31" s="40"/>
      <c r="I31" s="40"/>
      <c r="J31" s="40"/>
    </row>
    <row r="32" customFormat="false" ht="15" hidden="false" customHeight="false" outlineLevel="0" collapsed="false">
      <c r="A32" s="41" t="s">
        <v>846</v>
      </c>
      <c r="B32" s="41"/>
      <c r="C32" s="41"/>
      <c r="D32" s="41"/>
      <c r="E32" s="41"/>
      <c r="F32" s="41"/>
      <c r="G32" s="41"/>
      <c r="H32" s="41"/>
      <c r="I32" s="41"/>
      <c r="J32" s="41"/>
    </row>
    <row r="34" customFormat="false" ht="15" hidden="false" customHeight="false" outlineLevel="0" collapsed="false">
      <c r="A34" s="25" t="s">
        <v>298</v>
      </c>
    </row>
    <row r="35" customFormat="false" ht="15" hidden="false" customHeight="true" outlineLevel="0" collapsed="false">
      <c r="A35" s="22" t="s">
        <v>299</v>
      </c>
      <c r="B35" s="22"/>
      <c r="C35" s="22"/>
      <c r="D35" s="42" t="n">
        <v>0</v>
      </c>
      <c r="E35" s="43" t="s">
        <v>300</v>
      </c>
      <c r="F35" s="43"/>
      <c r="G35" s="43"/>
      <c r="H35" s="43"/>
      <c r="I35" s="43"/>
      <c r="J35" s="43"/>
    </row>
    <row r="36" customFormat="false" ht="15" hidden="false" customHeight="true" outlineLevel="0" collapsed="false">
      <c r="A36" s="22" t="s">
        <v>301</v>
      </c>
      <c r="B36" s="22"/>
      <c r="C36" s="22"/>
      <c r="D36" s="34" t="s">
        <v>302</v>
      </c>
      <c r="E36" s="43" t="s">
        <v>303</v>
      </c>
      <c r="F36" s="43"/>
      <c r="G36" s="43"/>
      <c r="H36" s="43"/>
      <c r="I36" s="43"/>
      <c r="J36" s="43"/>
    </row>
    <row r="37" customFormat="false" ht="15" hidden="false" customHeight="true" outlineLevel="0" collapsed="false">
      <c r="A37" s="22" t="s">
        <v>304</v>
      </c>
      <c r="B37" s="22"/>
      <c r="C37" s="22"/>
      <c r="D37" s="44"/>
      <c r="E37" s="43" t="s">
        <v>305</v>
      </c>
      <c r="F37" s="43"/>
      <c r="G37" s="43"/>
      <c r="H37" s="43"/>
      <c r="I37" s="43"/>
      <c r="J37" s="43"/>
    </row>
    <row r="38" customFormat="false" ht="23.85" hidden="false" customHeight="true" outlineLevel="0" collapsed="false">
      <c r="A38" s="22" t="s">
        <v>306</v>
      </c>
      <c r="B38" s="22"/>
      <c r="C38" s="22"/>
      <c r="D38" s="45" t="str">
        <f aca="false">IF(OR($D$35="",E18=""),"",IF($D$35=0,"— (no % rent)",E18/$D$35))</f>
        <v>— (no % rent)</v>
      </c>
      <c r="E38" s="43" t="s">
        <v>307</v>
      </c>
      <c r="F38" s="43"/>
      <c r="G38" s="43"/>
      <c r="H38" s="43"/>
      <c r="I38" s="43"/>
      <c r="J38" s="43"/>
    </row>
    <row r="39" customFormat="false" ht="23.85" hidden="false" customHeight="true" outlineLevel="0" collapsed="false">
      <c r="A39" s="22" t="s">
        <v>308</v>
      </c>
      <c r="B39" s="22"/>
      <c r="C39" s="22"/>
      <c r="D39" s="45" t="str">
        <f aca="false">IF($D$35="","",IF($D$35=0,"— (no % rent)",IF($D$37&lt;&gt;"",$D$37,IF(E18="","",E18/$D$35))))</f>
        <v>— (no % rent)</v>
      </c>
      <c r="E39" s="36"/>
      <c r="F39" s="36"/>
      <c r="G39" s="36"/>
      <c r="H39" s="36"/>
      <c r="I39" s="36"/>
      <c r="J39" s="36"/>
    </row>
    <row r="40" customFormat="false" ht="15" hidden="false" customHeight="true" outlineLevel="0" collapsed="false">
      <c r="A40" s="22" t="s">
        <v>309</v>
      </c>
      <c r="B40" s="22"/>
      <c r="C40" s="22"/>
      <c r="D40" s="45" t="n">
        <f aca="false">IF(OR($D$35="",D13=""),"",IF($D$35=0,0,IF($D$39="","",MAX(0,D13-$D$39)*$D$35)))</f>
        <v>0</v>
      </c>
      <c r="E40" s="36"/>
      <c r="F40" s="36"/>
      <c r="G40" s="36"/>
      <c r="H40" s="36"/>
      <c r="I40" s="36"/>
      <c r="J40" s="36"/>
    </row>
    <row r="41" customFormat="false" ht="15" hidden="false" customHeight="true" outlineLevel="0" collapsed="false">
      <c r="A41" s="22" t="s">
        <v>310</v>
      </c>
      <c r="B41" s="22"/>
      <c r="C41" s="22"/>
      <c r="D41" s="45" t="n">
        <f aca="false">IF(OR(D40="",E18=""),"",E18+D40)</f>
        <v>131769</v>
      </c>
      <c r="E41" s="36"/>
      <c r="F41" s="36"/>
      <c r="G41" s="36"/>
      <c r="H41" s="36"/>
      <c r="I41" s="36"/>
      <c r="J41" s="36"/>
    </row>
    <row r="42" customFormat="false" ht="15" hidden="false" customHeight="true" outlineLevel="0" collapsed="false">
      <c r="A42" s="22" t="s">
        <v>311</v>
      </c>
      <c r="B42" s="22"/>
      <c r="C42" s="22"/>
      <c r="D42" s="46" t="n">
        <f aca="false">IF(OR(D41="",D13=""),"",D41/D13)</f>
        <v>0.0454062715368711</v>
      </c>
      <c r="E42" s="36"/>
      <c r="F42" s="36"/>
      <c r="G42" s="36"/>
      <c r="H42" s="36"/>
      <c r="I42" s="36"/>
      <c r="J42" s="36"/>
    </row>
    <row r="44" customFormat="false" ht="15" hidden="false" customHeight="false" outlineLevel="0" collapsed="false">
      <c r="A44" s="25" t="s">
        <v>312</v>
      </c>
    </row>
    <row r="45" customFormat="false" ht="22.35" hidden="false" customHeight="false" outlineLevel="0" collapsed="false">
      <c r="A45" s="26" t="s">
        <v>313</v>
      </c>
      <c r="B45" s="26" t="s">
        <v>314</v>
      </c>
      <c r="C45" s="26" t="s">
        <v>315</v>
      </c>
      <c r="D45" s="26" t="s">
        <v>316</v>
      </c>
      <c r="E45" s="26" t="s">
        <v>317</v>
      </c>
      <c r="F45" s="26" t="s">
        <v>318</v>
      </c>
      <c r="G45" s="26" t="s">
        <v>319</v>
      </c>
      <c r="H45" s="26" t="s">
        <v>269</v>
      </c>
      <c r="I45" s="26" t="s">
        <v>320</v>
      </c>
      <c r="J45" s="26" t="s">
        <v>321</v>
      </c>
    </row>
    <row r="46" customFormat="false" ht="22.35" hidden="false" customHeight="false" outlineLevel="0" collapsed="false">
      <c r="A46" s="47" t="s">
        <v>205</v>
      </c>
      <c r="B46" s="47" t="s">
        <v>847</v>
      </c>
      <c r="C46" s="47" t="s">
        <v>207</v>
      </c>
      <c r="D46" s="47" t="s">
        <v>571</v>
      </c>
      <c r="E46" s="48"/>
      <c r="F46" s="47" t="s">
        <v>175</v>
      </c>
      <c r="G46" s="47" t="s">
        <v>848</v>
      </c>
      <c r="H46" s="49" t="n">
        <v>330000</v>
      </c>
      <c r="I46" s="47" t="s">
        <v>334</v>
      </c>
      <c r="J46" s="47" t="s">
        <v>849</v>
      </c>
    </row>
    <row r="47" customFormat="false" ht="32.8" hidden="false" customHeight="false" outlineLevel="0" collapsed="false">
      <c r="A47" s="47" t="s">
        <v>519</v>
      </c>
      <c r="B47" s="47" t="s">
        <v>850</v>
      </c>
      <c r="C47" s="47" t="s">
        <v>851</v>
      </c>
      <c r="D47" s="47" t="s">
        <v>852</v>
      </c>
      <c r="E47" s="48"/>
      <c r="F47" s="48"/>
      <c r="G47" s="47" t="s">
        <v>327</v>
      </c>
      <c r="H47" s="49" t="n">
        <v>300000</v>
      </c>
      <c r="I47" s="47" t="s">
        <v>334</v>
      </c>
      <c r="J47" s="47" t="s">
        <v>853</v>
      </c>
    </row>
    <row r="48" customFormat="false" ht="22.35" hidden="false" customHeight="false" outlineLevel="0" collapsed="false">
      <c r="A48" s="47" t="s">
        <v>854</v>
      </c>
      <c r="B48" s="47" t="s">
        <v>855</v>
      </c>
      <c r="C48" s="47" t="s">
        <v>856</v>
      </c>
      <c r="D48" s="47" t="s">
        <v>823</v>
      </c>
      <c r="E48" s="47" t="s">
        <v>857</v>
      </c>
      <c r="F48" s="48"/>
      <c r="G48" s="47" t="s">
        <v>327</v>
      </c>
      <c r="H48" s="49" t="n">
        <v>225975</v>
      </c>
      <c r="I48" s="50" t="s">
        <v>328</v>
      </c>
      <c r="J48" s="47" t="s">
        <v>858</v>
      </c>
    </row>
    <row r="49" customFormat="false" ht="15" hidden="false" customHeight="false" outlineLevel="0" collapsed="false">
      <c r="A49" s="52" t="s">
        <v>344</v>
      </c>
      <c r="B49" s="52"/>
      <c r="C49" s="52"/>
      <c r="D49" s="52"/>
      <c r="E49" s="52"/>
      <c r="F49" s="52"/>
      <c r="G49" s="52"/>
      <c r="H49" s="53" t="n">
        <f aca="false">IF(COUNT(H46:H48)=0,"",AVERAGE(H46:H48))</f>
        <v>285325</v>
      </c>
      <c r="I49" s="52" t="str">
        <f aca="false">IF(COUNT(H46:H48)=0,"",TEXT(MIN(H46:H48),"$#,##0")&amp;" – "&amp;TEXT(MAX(H46:H48),"$#,##0"))</f>
        <v>$225,975 – $330,000</v>
      </c>
      <c r="J49" s="36"/>
    </row>
    <row r="51" customFormat="false" ht="15" hidden="false" customHeight="false" outlineLevel="0" collapsed="false">
      <c r="A51" s="25" t="s">
        <v>345</v>
      </c>
    </row>
    <row r="52" customFormat="false" ht="53.7" hidden="false" customHeight="true" outlineLevel="0" collapsed="false">
      <c r="A52" s="26" t="s">
        <v>346</v>
      </c>
      <c r="B52" s="26"/>
      <c r="C52" s="26"/>
      <c r="D52" s="26" t="s">
        <v>347</v>
      </c>
      <c r="E52" s="26" t="s">
        <v>348</v>
      </c>
      <c r="F52" s="26" t="s">
        <v>349</v>
      </c>
      <c r="G52" s="26" t="s">
        <v>350</v>
      </c>
      <c r="H52" s="54" t="s">
        <v>351</v>
      </c>
    </row>
    <row r="53" customFormat="false" ht="68.65" hidden="false" customHeight="true" outlineLevel="0" collapsed="false">
      <c r="A53" s="22" t="s">
        <v>352</v>
      </c>
      <c r="B53" s="22"/>
      <c r="C53" s="22"/>
      <c r="D53" s="55" t="s">
        <v>353</v>
      </c>
      <c r="E53" s="56"/>
      <c r="F53" s="56"/>
      <c r="G53" s="56"/>
      <c r="H53" s="56"/>
    </row>
    <row r="54" customFormat="false" ht="15" hidden="false" customHeight="true" outlineLevel="0" collapsed="false">
      <c r="A54" s="22" t="s">
        <v>354</v>
      </c>
      <c r="B54" s="22"/>
      <c r="C54" s="22"/>
      <c r="D54" s="57" t="n">
        <v>131769</v>
      </c>
      <c r="E54" s="57"/>
      <c r="F54" s="57"/>
      <c r="G54" s="57"/>
      <c r="H54" s="57"/>
    </row>
    <row r="55" customFormat="false" ht="15" hidden="false" customHeight="true" outlineLevel="0" collapsed="false">
      <c r="A55" s="22" t="s">
        <v>355</v>
      </c>
      <c r="B55" s="22"/>
      <c r="C55" s="22"/>
      <c r="D55" s="82" t="n">
        <v>0.02</v>
      </c>
      <c r="E55" s="58"/>
      <c r="F55" s="58"/>
      <c r="G55" s="58"/>
      <c r="H55" s="58"/>
    </row>
    <row r="56" customFormat="false" ht="15" hidden="false" customHeight="true" outlineLevel="0" collapsed="false">
      <c r="A56" s="22" t="s">
        <v>356</v>
      </c>
      <c r="B56" s="22"/>
      <c r="C56" s="22"/>
      <c r="D56" s="56" t="n">
        <v>5</v>
      </c>
      <c r="E56" s="56"/>
      <c r="F56" s="56"/>
      <c r="G56" s="56"/>
      <c r="H56" s="56"/>
    </row>
    <row r="57" customFormat="false" ht="15" hidden="false" customHeight="true" outlineLevel="0" collapsed="false">
      <c r="A57" s="22" t="s">
        <v>357</v>
      </c>
      <c r="B57" s="22"/>
      <c r="C57" s="22"/>
      <c r="D57" s="59" t="n">
        <v>20</v>
      </c>
      <c r="E57" s="59"/>
      <c r="F57" s="59"/>
      <c r="G57" s="59"/>
      <c r="H57" s="59"/>
    </row>
    <row r="58" customFormat="false" ht="15" hidden="false" customHeight="true" outlineLevel="0" collapsed="false">
      <c r="A58" s="22" t="s">
        <v>358</v>
      </c>
      <c r="B58" s="22"/>
      <c r="C58" s="22"/>
      <c r="D58" s="60" t="n">
        <f aca="false">IF(OR(D54="",E18=""),"",D54-E18)</f>
        <v>0</v>
      </c>
      <c r="E58" s="60" t="str">
        <f aca="false">IF(OR(E54="",E18=""),"",E54-E18)</f>
        <v/>
      </c>
      <c r="F58" s="60" t="str">
        <f aca="false">IF(OR(F54="",E18=""),"",F54-E18)</f>
        <v/>
      </c>
      <c r="G58" s="60" t="str">
        <f aca="false">IF(OR(G54="",E18=""),"",G54-E18)</f>
        <v/>
      </c>
      <c r="H58" s="60" t="str">
        <f aca="false">IF(OR(H54="",E18=""),"",H54-E18)</f>
        <v/>
      </c>
    </row>
    <row r="59" customFormat="false" ht="15" hidden="false" customHeight="true" outlineLevel="0" collapsed="false">
      <c r="A59" s="22" t="s">
        <v>359</v>
      </c>
      <c r="B59" s="22"/>
      <c r="C59" s="22"/>
      <c r="D59" s="61" t="n">
        <f aca="false">IF(OR(D54="",E18=""),"",(D54-E18)/E18)</f>
        <v>0</v>
      </c>
      <c r="E59" s="61" t="str">
        <f aca="false">IF(OR(E54="",E18=""),"",(E54-E18)/E18)</f>
        <v/>
      </c>
      <c r="F59" s="61" t="str">
        <f aca="false">IF(OR(F54="",E18=""),"",(F54-E18)/E18)</f>
        <v/>
      </c>
      <c r="G59" s="61" t="str">
        <f aca="false">IF(OR(G54="",E18=""),"",(G54-E18)/E18)</f>
        <v/>
      </c>
      <c r="H59" s="61" t="str">
        <f aca="false">IF(OR(H54="",E18=""),"",(H54-E18)/E18)</f>
        <v/>
      </c>
    </row>
    <row r="60" customFormat="false" ht="15" hidden="false" customHeight="true" outlineLevel="0" collapsed="false">
      <c r="A60" s="22" t="s">
        <v>360</v>
      </c>
      <c r="B60" s="22"/>
      <c r="C60" s="22"/>
      <c r="D60" s="62" t="n">
        <f aca="false">IF(OR(D54="",D13=""),"",D54/D13)</f>
        <v>0.0454062715368711</v>
      </c>
      <c r="E60" s="62" t="str">
        <f aca="false">IF(OR(E54="",D13=""),"",E54/D13)</f>
        <v/>
      </c>
      <c r="F60" s="62" t="str">
        <f aca="false">IF(OR(F54="",D13=""),"",F54/D13)</f>
        <v/>
      </c>
      <c r="G60" s="62" t="str">
        <f aca="false">IF(OR(G54="",D13=""),"",G54/D13)</f>
        <v/>
      </c>
      <c r="H60" s="62" t="str">
        <f aca="false">IF(OR(H54="",D13=""),"",H54/D13)</f>
        <v/>
      </c>
    </row>
    <row r="61" customFormat="false" ht="15" hidden="false" customHeight="true" outlineLevel="0" collapsed="false">
      <c r="A61" s="22" t="s">
        <v>361</v>
      </c>
      <c r="B61" s="22"/>
      <c r="C61" s="22"/>
      <c r="D61" s="61" t="n">
        <f aca="false">IF(OR(D54="",H49=""),"",(D54-H49)/H49)</f>
        <v>-0.538179269254359</v>
      </c>
      <c r="E61" s="61" t="str">
        <f aca="false">IF(OR(E54="",H49=""),"",(E54-H49)/H49)</f>
        <v/>
      </c>
      <c r="F61" s="61" t="str">
        <f aca="false">IF(OR(F54="",H49=""),"",(F54-H49)/H49)</f>
        <v/>
      </c>
      <c r="G61" s="61" t="str">
        <f aca="false">IF(OR(G54="",H49=""),"",(G54-H49)/H49)</f>
        <v/>
      </c>
      <c r="H61" s="61" t="str">
        <f aca="false">IF(OR(H54="",H49=""),"",(H54-H49)/H49)</f>
        <v/>
      </c>
    </row>
    <row r="62" customFormat="false" ht="15" hidden="false" customHeight="true" outlineLevel="0" collapsed="false">
      <c r="A62" s="22" t="s">
        <v>362</v>
      </c>
      <c r="B62" s="22"/>
      <c r="C62" s="22"/>
      <c r="D62" s="63" t="n">
        <f aca="true">IF(D54="","",SUMPRODUCT(D54*(1+IF(D55="",0,D55))^ROUNDDOWN((ROW(INDIRECT("1:10"))-1)/IF(D56="",5,D56),0)))</f>
        <v>1330866.9</v>
      </c>
      <c r="E62" s="63" t="str">
        <f aca="true">IF(E54="","",SUMPRODUCT(E54*(1+IF(E55="",0,E55))^ROUNDDOWN((ROW(INDIRECT("1:10"))-1)/IF(E56="",5,E56),0)))</f>
        <v/>
      </c>
      <c r="F62" s="63" t="str">
        <f aca="true">IF(F54="","",SUMPRODUCT(F54*(1+IF(F55="",0,F55))^ROUNDDOWN((ROW(INDIRECT("1:10"))-1)/IF(F56="",5,F56),0)))</f>
        <v/>
      </c>
      <c r="G62" s="63" t="str">
        <f aca="true">IF(G54="","",SUMPRODUCT(G54*(1+IF(G55="",0,G55))^ROUNDDOWN((ROW(INDIRECT("1:10"))-1)/IF(G56="",5,G56),0)))</f>
        <v/>
      </c>
      <c r="H62" s="63" t="str">
        <f aca="true">IF(H54="","",SUMPRODUCT(H54*(1+IF(H55="",0,H55))^ROUNDDOWN((ROW(INDIRECT("1:10"))-1)/IF(H56="",5,H56),0)))</f>
        <v/>
      </c>
    </row>
    <row r="63" customFormat="false" ht="15" hidden="false" customHeight="true" outlineLevel="0" collapsed="false">
      <c r="A63" s="22" t="s">
        <v>363</v>
      </c>
      <c r="B63" s="22"/>
      <c r="C63" s="22"/>
      <c r="D63" s="60" t="n">
        <f aca="false">IF(OR(D62="",E21=""),"",D62-E21)</f>
        <v>-80379.4199999999</v>
      </c>
      <c r="E63" s="60" t="str">
        <f aca="false">IF(OR(E62="",E21=""),"",E62-E21)</f>
        <v/>
      </c>
      <c r="F63" s="60" t="str">
        <f aca="false">IF(OR(F62="",E21=""),"",F62-E21)</f>
        <v/>
      </c>
      <c r="G63" s="60" t="str">
        <f aca="false">IF(OR(G62="",E21=""),"",G62-E21)</f>
        <v/>
      </c>
      <c r="H63" s="60" t="str">
        <f aca="false">IF(OR(H62="",E21=""),"",H62-E21)</f>
        <v/>
      </c>
    </row>
    <row r="64" customFormat="false" ht="23.85" hidden="false" customHeight="true" outlineLevel="0" collapsed="false">
      <c r="A64" s="22" t="s">
        <v>364</v>
      </c>
      <c r="B64" s="22"/>
      <c r="C64" s="22"/>
      <c r="D64" s="58"/>
      <c r="E64" s="58"/>
      <c r="F64" s="58"/>
      <c r="G64" s="58"/>
      <c r="H64" s="58"/>
    </row>
    <row r="65" customFormat="false" ht="23.85" hidden="false" customHeight="true" outlineLevel="0" collapsed="false">
      <c r="A65" s="22" t="s">
        <v>365</v>
      </c>
      <c r="B65" s="22"/>
      <c r="C65" s="22"/>
      <c r="D65" s="57"/>
      <c r="E65" s="57"/>
      <c r="F65" s="57"/>
      <c r="G65" s="57"/>
      <c r="H65" s="57"/>
    </row>
    <row r="66" customFormat="false" ht="15" hidden="false" customHeight="true" outlineLevel="0" collapsed="false">
      <c r="A66" s="22" t="s">
        <v>366</v>
      </c>
      <c r="B66" s="22"/>
      <c r="C66" s="22"/>
      <c r="D66" s="63" t="str">
        <f aca="false">IF(OR(D54="",AND(D64="",$D$35="")),"",IF(IF(D64="",IF($D$35="",0,$D$35),D64)=0,"— (% rent removed)",IF(D65&lt;&gt;"",D65,IF($D$37&lt;&gt;"",$D$37,D54/IF(D64="",IF($D$35="",0,$D$35),D64)))))</f>
        <v>— (% rent removed)</v>
      </c>
      <c r="E66" s="63" t="str">
        <f aca="false">IF(OR(E54="",AND(E64="",$D$35="")),"",IF(IF(E64="",IF($D$35="",0,$D$35),E64)=0,"— (% rent removed)",IF(E65&lt;&gt;"",E65,IF($D$37&lt;&gt;"",$D$37,E54/IF(E64="",IF($D$35="",0,$D$35),E64)))))</f>
        <v/>
      </c>
      <c r="F66" s="63" t="str">
        <f aca="false">IF(OR(F54="",AND(F64="",$D$35="")),"",IF(IF(F64="",IF($D$35="",0,$D$35),F64)=0,"— (% rent removed)",IF(F65&lt;&gt;"",F65,IF($D$37&lt;&gt;"",$D$37,F54/IF(F64="",IF($D$35="",0,$D$35),F64)))))</f>
        <v/>
      </c>
      <c r="G66" s="63" t="str">
        <f aca="false">IF(OR(G54="",AND(G64="",$D$35="")),"",IF(IF(G64="",IF($D$35="",0,$D$35),G64)=0,"— (% rent removed)",IF(G65&lt;&gt;"",G65,IF($D$37&lt;&gt;"",$D$37,G54/IF(G64="",IF($D$35="",0,$D$35),G64)))))</f>
        <v/>
      </c>
      <c r="H66" s="63" t="str">
        <f aca="false">IF(OR(H54="",AND(H64="",$D$35="")),"",IF(IF(H64="",IF($D$35="",0,$D$35),H64)=0,"— (% rent removed)",IF(H65&lt;&gt;"",H65,IF($D$37&lt;&gt;"",$D$37,H54/IF(H64="",IF($D$35="",0,$D$35),H64)))))</f>
        <v/>
      </c>
    </row>
    <row r="67" customFormat="false" ht="15" hidden="false" customHeight="true" outlineLevel="0" collapsed="false">
      <c r="A67" s="22" t="s">
        <v>367</v>
      </c>
      <c r="B67" s="22"/>
      <c r="C67" s="22"/>
      <c r="D67" s="63" t="n">
        <f aca="false">IF(OR(D54="",AND(D64="",$D$35=""),D13=""),"",IF(IF(D64="",IF($D$35="",0,$D$35),D64)=0,0,MAX(0,D13-D66)*IF(D64="",IF($D$35="",0,$D$35),D64)))</f>
        <v>0</v>
      </c>
      <c r="E67" s="63" t="str">
        <f aca="false">IF(OR(E54="",AND(E64="",$D$35=""),D13=""),"",IF(IF(E64="",IF($D$35="",0,$D$35),E64)=0,0,MAX(0,D13-E66)*IF(E64="",IF($D$35="",0,$D$35),E64)))</f>
        <v/>
      </c>
      <c r="F67" s="63" t="str">
        <f aca="false">IF(OR(F54="",AND(F64="",$D$35=""),D13=""),"",IF(IF(F64="",IF($D$35="",0,$D$35),F64)=0,0,MAX(0,D13-F66)*IF(F64="",IF($D$35="",0,$D$35),F64)))</f>
        <v/>
      </c>
      <c r="G67" s="63" t="str">
        <f aca="false">IF(OR(G54="",AND(G64="",$D$35=""),D13=""),"",IF(IF(G64="",IF($D$35="",0,$D$35),G64)=0,0,MAX(0,D13-G66)*IF(G64="",IF($D$35="",0,$D$35),G64)))</f>
        <v/>
      </c>
      <c r="H67" s="63" t="str">
        <f aca="false">IF(OR(H54="",AND(H64="",$D$35=""),D13=""),"",IF(IF(H64="",IF($D$35="",0,$D$35),H64)=0,0,MAX(0,D13-H66)*IF(H64="",IF($D$35="",0,$D$35),H64)))</f>
        <v/>
      </c>
    </row>
    <row r="68" customFormat="false" ht="15" hidden="false" customHeight="true" outlineLevel="0" collapsed="false">
      <c r="A68" s="22" t="s">
        <v>368</v>
      </c>
      <c r="B68" s="22"/>
      <c r="C68" s="22"/>
      <c r="D68" s="63" t="n">
        <f aca="false">IF(OR(D54="",D67=""),"",D54+D67)</f>
        <v>131769</v>
      </c>
      <c r="E68" s="63" t="str">
        <f aca="false">IF(OR(E54="",E67=""),"",E54+E67)</f>
        <v/>
      </c>
      <c r="F68" s="63" t="str">
        <f aca="false">IF(OR(F54="",F67=""),"",F54+F67)</f>
        <v/>
      </c>
      <c r="G68" s="63" t="str">
        <f aca="false">IF(OR(G54="",G67=""),"",G54+G67)</f>
        <v/>
      </c>
      <c r="H68" s="63" t="str">
        <f aca="false">IF(OR(H54="",H67=""),"",H54+H67)</f>
        <v/>
      </c>
    </row>
    <row r="69" customFormat="false" ht="15" hidden="false" customHeight="true" outlineLevel="0" collapsed="false">
      <c r="A69" s="22" t="s">
        <v>369</v>
      </c>
      <c r="B69" s="22"/>
      <c r="C69" s="22"/>
      <c r="D69" s="62" t="n">
        <f aca="false">IF(OR(D68="",D13=""),"",D68/D13)</f>
        <v>0.0454062715368711</v>
      </c>
      <c r="E69" s="62" t="str">
        <f aca="false">IF(OR(E68="",D13=""),"",E68/D13)</f>
        <v/>
      </c>
      <c r="F69" s="62" t="str">
        <f aca="false">IF(OR(F68="",D13=""),"",F68/D13)</f>
        <v/>
      </c>
      <c r="G69" s="62" t="str">
        <f aca="false">IF(OR(G68="",D13=""),"",G68/D13)</f>
        <v/>
      </c>
      <c r="H69" s="62" t="str">
        <f aca="false">IF(OR(H68="",D13=""),"",H68/D13)</f>
        <v/>
      </c>
    </row>
    <row r="70" customFormat="false" ht="23.85" hidden="false" customHeight="true" outlineLevel="0" collapsed="false">
      <c r="A70" s="22" t="s">
        <v>370</v>
      </c>
      <c r="B70" s="22"/>
      <c r="C70" s="22"/>
      <c r="D70" s="64" t="n">
        <f aca="false">IF(D68="","",(853740.75-D68)/2900878.02)</f>
        <v>0.248880423451931</v>
      </c>
      <c r="E70" s="64" t="str">
        <f aca="false">IF(E68="","",(853740.75-E68)/2900878.02)</f>
        <v/>
      </c>
      <c r="F70" s="64" t="str">
        <f aca="false">IF(F68="","",(853740.75-F68)/2900878.02)</f>
        <v/>
      </c>
      <c r="G70" s="64" t="str">
        <f aca="false">IF(G68="","",(853740.75-G68)/2900878.02)</f>
        <v/>
      </c>
      <c r="H70" s="64" t="str">
        <f aca="false">IF(H68="","",(853740.75-H68)/2900878.02)</f>
        <v/>
      </c>
    </row>
    <row r="71" customFormat="false" ht="15" hidden="false" customHeight="true" outlineLevel="0" collapsed="false">
      <c r="A71" s="22" t="s">
        <v>371</v>
      </c>
      <c r="B71" s="22"/>
      <c r="C71" s="22"/>
      <c r="D71" s="63" t="n">
        <f aca="true">IF(OR(D54="",AND(D64="",$D$35=""),D13=""),"",IF(IF(D64="",IF($D$35="",0,$D$35),D64)=0,0,SUMPRODUCT(((D13*1.02^(ROW(INDIRECT("1:10"))-1))-(IF(D65&lt;&gt;"",D65,IF($D$37&lt;&gt;"",$D$37,(D54*(1+IF(D55="",0,D55))^ROUNDDOWN((ROW(INDIRECT("1:10"))-1)/IF(D56="",5,D56),0))/IF(D64="",IF($D$35="",0,$D$35),D64))))&gt;0)*((D13*1.02^(ROW(INDIRECT("1:10"))-1))-(IF(D65&lt;&gt;"",D65,IF($D$37&lt;&gt;"",$D$37,(D54*(1+IF(D55="",0,D55))^ROUNDDOWN((ROW(INDIRECT("1:10"))-1)/IF(D56="",5,D56),0))/IF(D64="",IF($D$35="",0,$D$35),D64))))))*IF(D64="",IF($D$35="",0,$D$35),D64)))</f>
        <v>0</v>
      </c>
      <c r="E71" s="63" t="str">
        <f aca="true">IF(OR(E54="",AND(E64="",$D$35=""),D13=""),"",IF(IF(E64="",IF($D$35="",0,$D$35),E64)=0,0,SUMPRODUCT(((D13*1.02^(ROW(INDIRECT("1:10"))-1))-(IF(E65&lt;&gt;"",E65,IF($D$37&lt;&gt;"",$D$37,(E54*(1+IF(E55="",0,E55))^ROUNDDOWN((ROW(INDIRECT("1:10"))-1)/IF(E56="",5,E56),0))/IF(E64="",IF($D$35="",0,$D$35),E64))))&gt;0)*((D13*1.02^(ROW(INDIRECT("1:10"))-1))-(IF(E65&lt;&gt;"",E65,IF($D$37&lt;&gt;"",$D$37,(E54*(1+IF(E55="",0,E55))^ROUNDDOWN((ROW(INDIRECT("1:10"))-1)/IF(E56="",5,E56),0))/IF(E64="",IF($D$35="",0,$D$35),E64))))))*IF(E64="",IF($D$35="",0,$D$35),E64)))</f>
        <v/>
      </c>
      <c r="F71" s="63" t="str">
        <f aca="true">IF(OR(F54="",AND(F64="",$D$35=""),D13=""),"",IF(IF(F64="",IF($D$35="",0,$D$35),F64)=0,0,SUMPRODUCT(((D13*1.02^(ROW(INDIRECT("1:10"))-1))-(IF(F65&lt;&gt;"",F65,IF($D$37&lt;&gt;"",$D$37,(F54*(1+IF(F55="",0,F55))^ROUNDDOWN((ROW(INDIRECT("1:10"))-1)/IF(F56="",5,F56),0))/IF(F64="",IF($D$35="",0,$D$35),F64))))&gt;0)*((D13*1.02^(ROW(INDIRECT("1:10"))-1))-(IF(F65&lt;&gt;"",F65,IF($D$37&lt;&gt;"",$D$37,(F54*(1+IF(F55="",0,F55))^ROUNDDOWN((ROW(INDIRECT("1:10"))-1)/IF(F56="",5,F56),0))/IF(F64="",IF($D$35="",0,$D$35),F64))))))*IF(F64="",IF($D$35="",0,$D$35),F64)))</f>
        <v/>
      </c>
      <c r="G71" s="63" t="str">
        <f aca="true">IF(OR(G54="",AND(G64="",$D$35=""),D13=""),"",IF(IF(G64="",IF($D$35="",0,$D$35),G64)=0,0,SUMPRODUCT(((D13*1.02^(ROW(INDIRECT("1:10"))-1))-(IF(G65&lt;&gt;"",G65,IF($D$37&lt;&gt;"",$D$37,(G54*(1+IF(G55="",0,G55))^ROUNDDOWN((ROW(INDIRECT("1:10"))-1)/IF(G56="",5,G56),0))/IF(G64="",IF($D$35="",0,$D$35),G64))))&gt;0)*((D13*1.02^(ROW(INDIRECT("1:10"))-1))-(IF(G65&lt;&gt;"",G65,IF($D$37&lt;&gt;"",$D$37,(G54*(1+IF(G55="",0,G55))^ROUNDDOWN((ROW(INDIRECT("1:10"))-1)/IF(G56="",5,G56),0))/IF(G64="",IF($D$35="",0,$D$35),G64))))))*IF(G64="",IF($D$35="",0,$D$35),G64)))</f>
        <v/>
      </c>
      <c r="H71" s="63" t="str">
        <f aca="true">IF(OR(H54="",AND(H64="",$D$35=""),D13=""),"",IF(IF(H64="",IF($D$35="",0,$D$35),H64)=0,0,SUMPRODUCT(((D13*1.02^(ROW(INDIRECT("1:10"))-1))-(IF(H65&lt;&gt;"",H65,IF($D$37&lt;&gt;"",$D$37,(H54*(1+IF(H55="",0,H55))^ROUNDDOWN((ROW(INDIRECT("1:10"))-1)/IF(H56="",5,H56),0))/IF(H64="",IF($D$35="",0,$D$35),H64))))&gt;0)*((D13*1.02^(ROW(INDIRECT("1:10"))-1))-(IF(H65&lt;&gt;"",H65,IF($D$37&lt;&gt;"",$D$37,(H54*(1+IF(H55="",0,H55))^ROUNDDOWN((ROW(INDIRECT("1:10"))-1)/IF(H56="",5,H56),0))/IF(H64="",IF($D$35="",0,$D$35),H64))))))*IF(H64="",IF($D$35="",0,$D$35),H64)))</f>
        <v/>
      </c>
    </row>
    <row r="72" customFormat="false" ht="15" hidden="false" customHeight="true" outlineLevel="0" collapsed="false">
      <c r="A72" s="22" t="s">
        <v>372</v>
      </c>
      <c r="B72" s="22"/>
      <c r="C72" s="22"/>
      <c r="D72" s="63" t="n">
        <f aca="false">IF(OR(D62="",D71=""),"",D62+D71)</f>
        <v>1330866.9</v>
      </c>
      <c r="E72" s="63" t="str">
        <f aca="false">IF(OR(E62="",E71=""),"",E62+E71)</f>
        <v/>
      </c>
      <c r="F72" s="63" t="str">
        <f aca="false">IF(OR(F62="",F71=""),"",F62+F71)</f>
        <v/>
      </c>
      <c r="G72" s="63" t="str">
        <f aca="false">IF(OR(G62="",G71=""),"",G62+G71)</f>
        <v/>
      </c>
      <c r="H72" s="63" t="str">
        <f aca="false">IF(OR(H62="",H71=""),"",H62+H71)</f>
        <v/>
      </c>
    </row>
    <row r="73" customFormat="false" ht="23.85" hidden="false" customHeight="true" outlineLevel="0" collapsed="false">
      <c r="A73" s="22" t="s">
        <v>373</v>
      </c>
      <c r="B73" s="22"/>
      <c r="C73" s="22"/>
      <c r="D73" s="65" t="n">
        <f aca="true">IF(D54="","",SUMPRODUCT(D54*(1+IF(D55="",0,D55))^ROUNDDOWN((ROW(INDIRECT("1:"&amp;IF(D57="",10,D57)))-1)/IF(D56="",5,D56),0))+IF(OR(D13="",IF(D64="",IF($D$35="",0,$D$35),D64)=0),0,SUMPRODUCT(((D13*1.02^(ROW(INDIRECT("1:"&amp;IF(D57="",10,D57)))-1))-(IF(D65&lt;&gt;"",D65,IF($D$37&lt;&gt;"",$D$37,(D54*(1+IF(D55="",0,D55))^ROUNDDOWN((ROW(INDIRECT("1:"&amp;IF(D57="",10,D57)))-1)/IF(D56="",5,D56),0))/IF(D64="",IF($D$35="",0,$D$35),D64))))&gt;0)*((D13*1.02^(ROW(INDIRECT("1:"&amp;IF(D57="",10,D57)))-1))-(IF(D65&lt;&gt;"",D65,IF($D$37&lt;&gt;"",$D$37,(D54*(1+IF(D55="",0,D55))^ROUNDDOWN((ROW(INDIRECT("1:"&amp;IF(D57="",10,D57)))-1)/IF(D56="",5,D56),0))/IF(D64="",IF($D$35="",0,$D$35),D64))))))*IF(D64="",IF($D$35="",0,$D$35),D64)))</f>
        <v>2715500.82276</v>
      </c>
      <c r="E73" s="65" t="str">
        <f aca="true">IF(E54="","",SUMPRODUCT(E54*(1+IF(E55="",0,E55))^ROUNDDOWN((ROW(INDIRECT("1:"&amp;IF(E57="",10,E57)))-1)/IF(E56="",5,E56),0))+IF(OR(D13="",IF(E64="",IF($D$35="",0,$D$35),E64)=0),0,SUMPRODUCT(((D13*1.02^(ROW(INDIRECT("1:"&amp;IF(E57="",10,E57)))-1))-(IF(E65&lt;&gt;"",E65,IF($D$37&lt;&gt;"",$D$37,(E54*(1+IF(E55="",0,E55))^ROUNDDOWN((ROW(INDIRECT("1:"&amp;IF(E57="",10,E57)))-1)/IF(E56="",5,E56),0))/IF(E64="",IF($D$35="",0,$D$35),E64))))&gt;0)*((D13*1.02^(ROW(INDIRECT("1:"&amp;IF(E57="",10,E57)))-1))-(IF(E65&lt;&gt;"",E65,IF($D$37&lt;&gt;"",$D$37,(E54*(1+IF(E55="",0,E55))^ROUNDDOWN((ROW(INDIRECT("1:"&amp;IF(E57="",10,E57)))-1)/IF(E56="",5,E56),0))/IF(E64="",IF($D$35="",0,$D$35),E64))))))*IF(E64="",IF($D$35="",0,$D$35),E64)))</f>
        <v/>
      </c>
      <c r="F73" s="65" t="str">
        <f aca="true">IF(F54="","",SUMPRODUCT(F54*(1+IF(F55="",0,F55))^ROUNDDOWN((ROW(INDIRECT("1:"&amp;IF(F57="",10,F57)))-1)/IF(F56="",5,F56),0))+IF(OR(D13="",IF(F64="",IF($D$35="",0,$D$35),F64)=0),0,SUMPRODUCT(((D13*1.02^(ROW(INDIRECT("1:"&amp;IF(F57="",10,F57)))-1))-(IF(F65&lt;&gt;"",F65,IF($D$37&lt;&gt;"",$D$37,(F54*(1+IF(F55="",0,F55))^ROUNDDOWN((ROW(INDIRECT("1:"&amp;IF(F57="",10,F57)))-1)/IF(F56="",5,F56),0))/IF(F64="",IF($D$35="",0,$D$35),F64))))&gt;0)*((D13*1.02^(ROW(INDIRECT("1:"&amp;IF(F57="",10,F57)))-1))-(IF(F65&lt;&gt;"",F65,IF($D$37&lt;&gt;"",$D$37,(F54*(1+IF(F55="",0,F55))^ROUNDDOWN((ROW(INDIRECT("1:"&amp;IF(F57="",10,F57)))-1)/IF(F56="",5,F56),0))/IF(F64="",IF($D$35="",0,$D$35),F64))))))*IF(F64="",IF($D$35="",0,$D$35),F64)))</f>
        <v/>
      </c>
      <c r="G73" s="65" t="str">
        <f aca="true">IF(G54="","",SUMPRODUCT(G54*(1+IF(G55="",0,G55))^ROUNDDOWN((ROW(INDIRECT("1:"&amp;IF(G57="",10,G57)))-1)/IF(G56="",5,G56),0))+IF(OR(D13="",IF(G64="",IF($D$35="",0,$D$35),G64)=0),0,SUMPRODUCT(((D13*1.02^(ROW(INDIRECT("1:"&amp;IF(G57="",10,G57)))-1))-(IF(G65&lt;&gt;"",G65,IF($D$37&lt;&gt;"",$D$37,(G54*(1+IF(G55="",0,G55))^ROUNDDOWN((ROW(INDIRECT("1:"&amp;IF(G57="",10,G57)))-1)/IF(G56="",5,G56),0))/IF(G64="",IF($D$35="",0,$D$35),G64))))&gt;0)*((D13*1.02^(ROW(INDIRECT("1:"&amp;IF(G57="",10,G57)))-1))-(IF(G65&lt;&gt;"",G65,IF($D$37&lt;&gt;"",$D$37,(G54*(1+IF(G55="",0,G55))^ROUNDDOWN((ROW(INDIRECT("1:"&amp;IF(G57="",10,G57)))-1)/IF(G56="",5,G56),0))/IF(G64="",IF($D$35="",0,$D$35),G64))))))*IF(G64="",IF($D$35="",0,$D$35),G64)))</f>
        <v/>
      </c>
      <c r="H73" s="65" t="str">
        <f aca="true">IF(H54="","",SUMPRODUCT(H54*(1+IF(H55="",0,H55))^ROUNDDOWN((ROW(INDIRECT("1:"&amp;IF(H57="",10,H57)))-1)/IF(H56="",5,H56),0))+IF(OR(D13="",IF(H64="",IF($D$35="",0,$D$35),H64)=0),0,SUMPRODUCT(((D13*1.02^(ROW(INDIRECT("1:"&amp;IF(H57="",10,H57)))-1))-(IF(H65&lt;&gt;"",H65,IF($D$37&lt;&gt;"",$D$37,(H54*(1+IF(H55="",0,H55))^ROUNDDOWN((ROW(INDIRECT("1:"&amp;IF(H57="",10,H57)))-1)/IF(H56="",5,H56),0))/IF(H64="",IF($D$35="",0,$D$35),H64))))&gt;0)*((D13*1.02^(ROW(INDIRECT("1:"&amp;IF(H57="",10,H57)))-1))-(IF(H65&lt;&gt;"",H65,IF($D$37&lt;&gt;"",$D$37,(H54*(1+IF(H55="",0,H55))^ROUNDDOWN((ROW(INDIRECT("1:"&amp;IF(H57="",10,H57)))-1)/IF(H56="",5,H56),0))/IF(H64="",IF($D$35="",0,$D$35),H64))))))*IF(H64="",IF($D$35="",0,$D$35),H64)))</f>
        <v/>
      </c>
    </row>
    <row r="74" customFormat="false" ht="15" hidden="false" customHeight="true" outlineLevel="0" collapsed="false">
      <c r="A74" s="22" t="s">
        <v>374</v>
      </c>
      <c r="B74" s="22"/>
      <c r="C74" s="22"/>
      <c r="D74" s="62" t="n">
        <f aca="false">IF(D54="","",IF(D55="",0,(1+D55)^(5/IF(D56="",5,D56))-1))</f>
        <v>0.02</v>
      </c>
      <c r="E74" s="62" t="str">
        <f aca="false">IF(E54="","",IF(E55="",0,(1+E55)^(5/IF(E56="",5,E56))-1))</f>
        <v/>
      </c>
      <c r="F74" s="62" t="str">
        <f aca="false">IF(F54="","",IF(F55="",0,(1+F55)^(5/IF(F56="",5,F56))-1))</f>
        <v/>
      </c>
      <c r="G74" s="62" t="str">
        <f aca="false">IF(G54="","",IF(G55="",0,(1+G55)^(5/IF(G56="",5,G56))-1))</f>
        <v/>
      </c>
      <c r="H74" s="62" t="str">
        <f aca="false">IF(H54="","",IF(H55="",0,(1+H55)^(5/IF(H56="",5,H56))-1))</f>
        <v/>
      </c>
    </row>
    <row r="75" customFormat="false" ht="43.25" hidden="false" customHeight="true" outlineLevel="0" collapsed="false">
      <c r="A75" s="22" t="s">
        <v>375</v>
      </c>
      <c r="B75" s="22"/>
      <c r="C75" s="22"/>
      <c r="D75" s="66" t="str">
        <f aca="false">IF(D74="","",IF(D74&lt;=0,"REDUCTION / FLAT — ladder steps 1-2 (best)",IF(D74&lt;=0.08,"OK — within 8%/5-yr in-house authority (ladder step 3)","ABOVE 8%/5-yr — CEO SIGN-OFF REQUIRED (Rob 8/5/26)")))</f>
        <v>OK — within 8%/5-yr in-house authority (ladder step 3)</v>
      </c>
      <c r="E75" s="66" t="str">
        <f aca="false">IF(E74="","",IF(E74&lt;=0,"REDUCTION / FLAT — ladder steps 1-2 (best)",IF(E74&lt;=0.08,"OK — within 8%/5-yr in-house authority (ladder step 3)","ABOVE 8%/5-yr — CEO SIGN-OFF REQUIRED (Rob 8/5/26)")))</f>
        <v/>
      </c>
      <c r="F75" s="66" t="str">
        <f aca="false">IF(F74="","",IF(F74&lt;=0,"REDUCTION / FLAT — ladder steps 1-2 (best)",IF(F74&lt;=0.08,"OK — within 8%/5-yr in-house authority (ladder step 3)","ABOVE 8%/5-yr — CEO SIGN-OFF REQUIRED (Rob 8/5/26)")))</f>
        <v/>
      </c>
      <c r="G75" s="66" t="str">
        <f aca="false">IF(G74="","",IF(G74&lt;=0,"REDUCTION / FLAT — ladder steps 1-2 (best)",IF(G74&lt;=0.08,"OK — within 8%/5-yr in-house authority (ladder step 3)","ABOVE 8%/5-yr — CEO SIGN-OFF REQUIRED (Rob 8/5/26)")))</f>
        <v/>
      </c>
      <c r="H75" s="66" t="str">
        <f aca="false">IF(H74="","",IF(H74&lt;=0,"REDUCTION / FLAT — ladder steps 1-2 (best)",IF(H74&lt;=0.08,"OK — within 8%/5-yr in-house authority (ladder step 3)","ABOVE 8%/5-yr — CEO SIGN-OFF REQUIRED (Rob 8/5/26)")))</f>
        <v/>
      </c>
    </row>
    <row r="76" customFormat="false" ht="23.85" hidden="false" customHeight="true" outlineLevel="0" collapsed="false">
      <c r="A76" s="22" t="s">
        <v>376</v>
      </c>
      <c r="B76" s="22"/>
      <c r="C76" s="22"/>
      <c r="D76" s="62" t="n">
        <f aca="false">IF(OR(D54="",D13=""),"",((D54*(1+IF(D55="",0,D55))^ROUNDDOWN(9/IF(D56="",5,D56),0))+IF(IF(D64="",IF($D$35="",0,$D$35),D64)=0,0,MAX(0,D13*1.02^9-IF(D65&lt;&gt;"",D65,IF($D$37&lt;&gt;"",$D$37,(D54*(1+IF(D55="",0,D55))^ROUNDDOWN(9/IF(D56="",5,D56),0))/IF(D64="",IF($D$35="",0,$D$35),D64))))*IF(D64="",IF($D$35="",0,$D$35),D64)))/(D13*1.02^9))</f>
        <v>0.0387538155483631</v>
      </c>
      <c r="E76" s="62" t="str">
        <f aca="false">IF(OR(E54="",D13=""),"",((E54*(1+IF(E55="",0,E55))^ROUNDDOWN(9/IF(E56="",5,E56),0))+IF(IF(E64="",IF($D$35="",0,$D$35),E64)=0,0,MAX(0,D13*1.02^9-IF(E65&lt;&gt;"",E65,IF($D$37&lt;&gt;"",$D$37,(E54*(1+IF(E55="",0,E55))^ROUNDDOWN(9/IF(E56="",5,E56),0))/IF(E64="",IF($D$35="",0,$D$35),E64))))*IF(E64="",IF($D$35="",0,$D$35),E64)))/(D13*1.02^9))</f>
        <v/>
      </c>
      <c r="F76" s="62" t="str">
        <f aca="false">IF(OR(F54="",D13=""),"",((F54*(1+IF(F55="",0,F55))^ROUNDDOWN(9/IF(F56="",5,F56),0))+IF(IF(F64="",IF($D$35="",0,$D$35),F64)=0,0,MAX(0,D13*1.02^9-IF(F65&lt;&gt;"",F65,IF($D$37&lt;&gt;"",$D$37,(F54*(1+IF(F55="",0,F55))^ROUNDDOWN(9/IF(F56="",5,F56),0))/IF(F64="",IF($D$35="",0,$D$35),F64))))*IF(F64="",IF($D$35="",0,$D$35),F64)))/(D13*1.02^9))</f>
        <v/>
      </c>
      <c r="G76" s="62" t="str">
        <f aca="false">IF(OR(G54="",D13=""),"",((G54*(1+IF(G55="",0,G55))^ROUNDDOWN(9/IF(G56="",5,G56),0))+IF(IF(G64="",IF($D$35="",0,$D$35),G64)=0,0,MAX(0,D13*1.02^9-IF(G65&lt;&gt;"",G65,IF($D$37&lt;&gt;"",$D$37,(G54*(1+IF(G55="",0,G55))^ROUNDDOWN(9/IF(G56="",5,G56),0))/IF(G64="",IF($D$35="",0,$D$35),G64))))*IF(G64="",IF($D$35="",0,$D$35),G64)))/(D13*1.02^9))</f>
        <v/>
      </c>
      <c r="H76" s="62" t="str">
        <f aca="false">IF(OR(H54="",D13=""),"",((H54*(1+IF(H55="",0,H55))^ROUNDDOWN(9/IF(H56="",5,H56),0))+IF(IF(H64="",IF($D$35="",0,$D$35),H64)=0,0,MAX(0,D13*1.02^9-IF(H65&lt;&gt;"",H65,IF($D$37&lt;&gt;"",$D$37,(H54*(1+IF(H55="",0,H55))^ROUNDDOWN(9/IF(H56="",5,H56),0))/IF(H64="",IF($D$35="",0,$D$35),H64))))*IF(H64="",IF($D$35="",0,$D$35),H64)))/(D13*1.02^9))</f>
        <v/>
      </c>
    </row>
    <row r="77" customFormat="false" ht="23.85" hidden="false" customHeight="true" outlineLevel="0" collapsed="false">
      <c r="A77" s="22" t="s">
        <v>377</v>
      </c>
      <c r="B77" s="22"/>
      <c r="C77" s="22"/>
      <c r="D77" s="66" t="str">
        <f aca="false">IF(OR(D76="",D69=""),"",IF(MAX(D69,D76)&gt;=0.08,"HARD STOP — occupancy at/above 8% of sales: STOP, CEO sign-off before responding",IF(MAX(D69,D76)&gt;0.07,"Above Kim 7% alert — approaching 8% hard stop","OK — under 7% alert")))</f>
        <v>OK — under 7% alert</v>
      </c>
      <c r="E77" s="66" t="str">
        <f aca="false">IF(OR(E76="",E69=""),"",IF(MAX(E69,E76)&gt;=0.08,"HARD STOP — occupancy at/above 8% of sales: STOP, CEO sign-off before responding",IF(MAX(E69,E76)&gt;0.07,"Above Kim 7% alert — approaching 8% hard stop","OK — under 7% alert")))</f>
        <v/>
      </c>
      <c r="F77" s="66" t="str">
        <f aca="false">IF(OR(F76="",F69=""),"",IF(MAX(F69,F76)&gt;=0.08,"HARD STOP — occupancy at/above 8% of sales: STOP, CEO sign-off before responding",IF(MAX(F69,F76)&gt;0.07,"Above Kim 7% alert — approaching 8% hard stop","OK — under 7% alert")))</f>
        <v/>
      </c>
      <c r="G77" s="66" t="str">
        <f aca="false">IF(OR(G76="",G69=""),"",IF(MAX(G69,G76)&gt;=0.08,"HARD STOP — occupancy at/above 8% of sales: STOP, CEO sign-off before responding",IF(MAX(G69,G76)&gt;0.07,"Above Kim 7% alert — approaching 8% hard stop","OK — under 7% alert")))</f>
        <v/>
      </c>
      <c r="H77" s="66" t="str">
        <f aca="false">IF(OR(H76="",H69=""),"",IF(MAX(H69,H76)&gt;=0.08,"HARD STOP — occupancy at/above 8% of sales: STOP, CEO sign-off before responding",IF(MAX(H69,H76)&gt;0.07,"Above Kim 7% alert — approaching 8% hard stop","OK — under 7% alert")))</f>
        <v/>
      </c>
    </row>
    <row r="79" customFormat="false" ht="22.35" hidden="false" customHeight="true" outlineLevel="0" collapsed="false">
      <c r="A79" s="68" t="s">
        <v>379</v>
      </c>
      <c r="B79" s="68"/>
      <c r="C79" s="68"/>
      <c r="D79" s="68"/>
      <c r="E79" s="68"/>
      <c r="F79" s="68"/>
      <c r="G79" s="68"/>
      <c r="H79" s="68"/>
      <c r="I79" s="68"/>
      <c r="J79" s="68"/>
    </row>
    <row r="81" customFormat="false" ht="15" hidden="false" customHeight="false" outlineLevel="0" collapsed="false">
      <c r="A81" s="69" t="s">
        <v>380</v>
      </c>
      <c r="B81" s="69"/>
      <c r="C81" s="69"/>
      <c r="D81" s="69"/>
      <c r="E81" s="69"/>
      <c r="F81" s="69"/>
      <c r="G81" s="69"/>
      <c r="H81" s="69"/>
      <c r="I81" s="69"/>
      <c r="J81" s="69"/>
    </row>
    <row r="84" customFormat="false" ht="15" hidden="false" customHeight="false" outlineLevel="0" collapsed="false">
      <c r="A84" s="25" t="s">
        <v>381</v>
      </c>
    </row>
    <row r="85" customFormat="false" ht="15" hidden="false" customHeight="false" outlineLevel="0" collapsed="false">
      <c r="A85" s="69" t="s">
        <v>382</v>
      </c>
      <c r="B85" s="69"/>
      <c r="C85" s="69"/>
      <c r="D85" s="69"/>
      <c r="E85" s="69"/>
      <c r="F85" s="69"/>
      <c r="G85" s="69"/>
      <c r="H85" s="69"/>
      <c r="I85" s="69"/>
      <c r="J85" s="69"/>
      <c r="K85" s="69"/>
      <c r="L85" s="69"/>
      <c r="M85" s="69"/>
      <c r="N85" s="69"/>
      <c r="O85" s="69"/>
      <c r="P85" s="69"/>
      <c r="Q85" s="69"/>
      <c r="R85" s="69"/>
      <c r="S85" s="69"/>
      <c r="T85" s="69"/>
    </row>
    <row r="86" customFormat="false" ht="15" hidden="false" customHeight="true" outlineLevel="0" collapsed="false">
      <c r="A86" s="70" t="s">
        <v>383</v>
      </c>
      <c r="B86" s="70" t="s">
        <v>384</v>
      </c>
      <c r="C86" s="71" t="s">
        <v>385</v>
      </c>
      <c r="D86" s="71"/>
      <c r="E86" s="71"/>
      <c r="F86" s="71" t="s">
        <v>386</v>
      </c>
      <c r="G86" s="71"/>
      <c r="H86" s="71"/>
      <c r="I86" s="71" t="s">
        <v>387</v>
      </c>
      <c r="J86" s="71"/>
      <c r="K86" s="71"/>
      <c r="L86" s="71" t="s">
        <v>388</v>
      </c>
      <c r="M86" s="71"/>
      <c r="N86" s="71"/>
      <c r="O86" s="71" t="s">
        <v>389</v>
      </c>
      <c r="P86" s="71"/>
      <c r="Q86" s="71"/>
      <c r="R86" s="72" t="s">
        <v>390</v>
      </c>
      <c r="S86" s="72"/>
      <c r="T86" s="72"/>
    </row>
    <row r="87" customFormat="false" ht="15" hidden="false" customHeight="false" outlineLevel="0" collapsed="false">
      <c r="A87" s="73"/>
      <c r="B87" s="73"/>
      <c r="C87" s="73" t="s">
        <v>391</v>
      </c>
      <c r="D87" s="73" t="s">
        <v>392</v>
      </c>
      <c r="E87" s="73" t="s">
        <v>393</v>
      </c>
      <c r="F87" s="73" t="s">
        <v>391</v>
      </c>
      <c r="G87" s="73" t="s">
        <v>392</v>
      </c>
      <c r="H87" s="73" t="s">
        <v>393</v>
      </c>
      <c r="I87" s="73" t="s">
        <v>391</v>
      </c>
      <c r="J87" s="73" t="s">
        <v>392</v>
      </c>
      <c r="K87" s="73" t="s">
        <v>393</v>
      </c>
      <c r="L87" s="73" t="s">
        <v>391</v>
      </c>
      <c r="M87" s="73" t="s">
        <v>392</v>
      </c>
      <c r="N87" s="73" t="s">
        <v>393</v>
      </c>
      <c r="O87" s="73" t="s">
        <v>391</v>
      </c>
      <c r="P87" s="73" t="s">
        <v>392</v>
      </c>
      <c r="Q87" s="73" t="s">
        <v>393</v>
      </c>
      <c r="R87" s="73" t="s">
        <v>391</v>
      </c>
      <c r="S87" s="73" t="s">
        <v>392</v>
      </c>
      <c r="T87" s="73" t="s">
        <v>393</v>
      </c>
    </row>
    <row r="88" customFormat="false" ht="15" hidden="false" customHeight="false" outlineLevel="0" collapsed="false">
      <c r="A88" s="74" t="n">
        <v>1</v>
      </c>
      <c r="B88" s="75" t="n">
        <v>2902000</v>
      </c>
      <c r="C88" s="76" t="n">
        <v>131769</v>
      </c>
      <c r="D88" s="76" t="n">
        <v>0</v>
      </c>
      <c r="E88" s="76" t="n">
        <v>131769</v>
      </c>
      <c r="F88" s="75" t="n">
        <f aca="false">IF(D54="","",IF(1&gt;IF(D57="",10,D57),"",D54*(1+IF(D55="",0,D55))^ROUNDDOWN((1-1)/IF(D56="",5,D56),0)))</f>
        <v>131769</v>
      </c>
      <c r="G88" s="75" t="n">
        <f aca="false">IF(F88="","",IF((IF(D64="",IF($D$35="",0,$D$35),D64))=0,0,MAX(0,2902000-(IF(D65&lt;&gt;"",D65,IF($D$37&lt;&gt;"",$D$37,IF((IF(D64="",IF($D$35="",0,$D$35),D64))=0,0,D54/(IF(D64="",IF($D$35="",0,$D$35),D64)))))))*(IF(D64="",IF($D$35="",0,$D$35),D64))))</f>
        <v>0</v>
      </c>
      <c r="H88" s="75" t="n">
        <f aca="false">IF(F88="","",F88+G88)</f>
        <v>131769</v>
      </c>
      <c r="I88" s="75" t="str">
        <f aca="false">IF(E54="","",IF(1&gt;IF(E57="",10,E57),"",E54*(1+IF(E55="",0,E55))^ROUNDDOWN((1-1)/IF(E56="",5,E56),0)))</f>
        <v/>
      </c>
      <c r="J88" s="75" t="str">
        <f aca="false">IF(I88="","",IF((IF(E64="",IF($D$35="",0,$D$35),E64))=0,0,MAX(0,2902000-(IF(E65&lt;&gt;"",E65,IF($D$37&lt;&gt;"",$D$37,IF((IF(E64="",IF($D$35="",0,$D$35),E64))=0,0,E54/(IF(E64="",IF($D$35="",0,$D$35),E64)))))))*(IF(E64="",IF($D$35="",0,$D$35),E64))))</f>
        <v/>
      </c>
      <c r="K88" s="75" t="str">
        <f aca="false">IF(I88="","",I88+J88)</f>
        <v/>
      </c>
      <c r="L88" s="75" t="str">
        <f aca="false">IF(F54="","",IF(1&gt;IF(F57="",10,F57),"",F54*(1+IF(F55="",0,F55))^ROUNDDOWN((1-1)/IF(F56="",5,F56),0)))</f>
        <v/>
      </c>
      <c r="M88" s="75" t="str">
        <f aca="false">IF(L88="","",IF((IF(F64="",IF($D$35="",0,$D$35),F64))=0,0,MAX(0,2902000-(IF(F65&lt;&gt;"",F65,IF($D$37&lt;&gt;"",$D$37,IF((IF(F64="",IF($D$35="",0,$D$35),F64))=0,0,F54/(IF(F64="",IF($D$35="",0,$D$35),F64)))))))*(IF(F64="",IF($D$35="",0,$D$35),F64))))</f>
        <v/>
      </c>
      <c r="N88" s="75" t="str">
        <f aca="false">IF(L88="","",L88+M88)</f>
        <v/>
      </c>
      <c r="O88" s="75" t="str">
        <f aca="false">IF(G54="","",IF(1&gt;IF(G57="",10,G57),"",G54*(1+IF(G55="",0,G55))^ROUNDDOWN((1-1)/IF(G56="",5,G56),0)))</f>
        <v/>
      </c>
      <c r="P88" s="75" t="str">
        <f aca="false">IF(O88="","",IF((IF(G64="",IF($D$35="",0,$D$35),G64))=0,0,MAX(0,2902000-(IF(G65&lt;&gt;"",G65,IF($D$37&lt;&gt;"",$D$37,IF((IF(G64="",IF($D$35="",0,$D$35),G64))=0,0,G54/(IF(G64="",IF($D$35="",0,$D$35),G64)))))))*(IF(G64="",IF($D$35="",0,$D$35),G64))))</f>
        <v/>
      </c>
      <c r="Q88" s="75" t="str">
        <f aca="false">IF(O88="","",O88+P88)</f>
        <v/>
      </c>
      <c r="R88" s="75" t="str">
        <f aca="false">IF(H54="","",IF(1&gt;IF(H57="",10,H57),"",H54*(1+IF(H55="",0,H55))^ROUNDDOWN((1-1)/IF(H56="",5,H56),0)))</f>
        <v/>
      </c>
      <c r="S88" s="75" t="str">
        <f aca="false">IF(R88="","",IF((IF(H64="",IF($D$35="",0,$D$35),H64))=0,0,MAX(0,2902000-(IF(H65&lt;&gt;"",H65,IF($D$37&lt;&gt;"",$D$37,IF((IF(H64="",IF($D$35="",0,$D$35),H64))=0,0,H54/(IF(H64="",IF($D$35="",0,$D$35),H64)))))))*(IF(H64="",IF($D$35="",0,$D$35),H64))))</f>
        <v/>
      </c>
      <c r="T88" s="75" t="str">
        <f aca="false">IF(R88="","",R88+S88)</f>
        <v/>
      </c>
    </row>
    <row r="89" customFormat="false" ht="15" hidden="false" customHeight="false" outlineLevel="0" collapsed="false">
      <c r="A89" s="74" t="n">
        <v>2</v>
      </c>
      <c r="B89" s="75" t="n">
        <v>2960040</v>
      </c>
      <c r="C89" s="76" t="n">
        <v>131769</v>
      </c>
      <c r="D89" s="76" t="n">
        <v>0</v>
      </c>
      <c r="E89" s="76" t="n">
        <v>131769</v>
      </c>
      <c r="F89" s="75" t="n">
        <f aca="false">IF(D54="","",IF(2&gt;IF(D57="",10,D57),"",D54*(1+IF(D55="",0,D55))^ROUNDDOWN((2-1)/IF(D56="",5,D56),0)))</f>
        <v>131769</v>
      </c>
      <c r="G89" s="75" t="n">
        <f aca="false">IF(F89="","",IF((IF(D64="",IF($D$35="",0,$D$35),D64))=0,0,MAX(0,2960040-(IF(D65&lt;&gt;"",D65,IF($D$37&lt;&gt;"",$D$37,IF((IF(D64="",IF($D$35="",0,$D$35),D64))=0,0,D54/(IF(D64="",IF($D$35="",0,$D$35),D64)))))))*(IF(D64="",IF($D$35="",0,$D$35),D64))))</f>
        <v>0</v>
      </c>
      <c r="H89" s="75" t="n">
        <f aca="false">IF(F89="","",F89+G89)</f>
        <v>131769</v>
      </c>
      <c r="I89" s="75" t="str">
        <f aca="false">IF(E54="","",IF(2&gt;IF(E57="",10,E57),"",E54*(1+IF(E55="",0,E55))^ROUNDDOWN((2-1)/IF(E56="",5,E56),0)))</f>
        <v/>
      </c>
      <c r="J89" s="75" t="str">
        <f aca="false">IF(I89="","",IF((IF(E64="",IF($D$35="",0,$D$35),E64))=0,0,MAX(0,2960040-(IF(E65&lt;&gt;"",E65,IF($D$37&lt;&gt;"",$D$37,IF((IF(E64="",IF($D$35="",0,$D$35),E64))=0,0,E54/(IF(E64="",IF($D$35="",0,$D$35),E64)))))))*(IF(E64="",IF($D$35="",0,$D$35),E64))))</f>
        <v/>
      </c>
      <c r="K89" s="75" t="str">
        <f aca="false">IF(I89="","",I89+J89)</f>
        <v/>
      </c>
      <c r="L89" s="75" t="str">
        <f aca="false">IF(F54="","",IF(2&gt;IF(F57="",10,F57),"",F54*(1+IF(F55="",0,F55))^ROUNDDOWN((2-1)/IF(F56="",5,F56),0)))</f>
        <v/>
      </c>
      <c r="M89" s="75" t="str">
        <f aca="false">IF(L89="","",IF((IF(F64="",IF($D$35="",0,$D$35),F64))=0,0,MAX(0,2960040-(IF(F65&lt;&gt;"",F65,IF($D$37&lt;&gt;"",$D$37,IF((IF(F64="",IF($D$35="",0,$D$35),F64))=0,0,F54/(IF(F64="",IF($D$35="",0,$D$35),F64)))))))*(IF(F64="",IF($D$35="",0,$D$35),F64))))</f>
        <v/>
      </c>
      <c r="N89" s="75" t="str">
        <f aca="false">IF(L89="","",L89+M89)</f>
        <v/>
      </c>
      <c r="O89" s="75" t="str">
        <f aca="false">IF(G54="","",IF(2&gt;IF(G57="",10,G57),"",G54*(1+IF(G55="",0,G55))^ROUNDDOWN((2-1)/IF(G56="",5,G56),0)))</f>
        <v/>
      </c>
      <c r="P89" s="75" t="str">
        <f aca="false">IF(O89="","",IF((IF(G64="",IF($D$35="",0,$D$35),G64))=0,0,MAX(0,2960040-(IF(G65&lt;&gt;"",G65,IF($D$37&lt;&gt;"",$D$37,IF((IF(G64="",IF($D$35="",0,$D$35),G64))=0,0,G54/(IF(G64="",IF($D$35="",0,$D$35),G64)))))))*(IF(G64="",IF($D$35="",0,$D$35),G64))))</f>
        <v/>
      </c>
      <c r="Q89" s="75" t="str">
        <f aca="false">IF(O89="","",O89+P89)</f>
        <v/>
      </c>
      <c r="R89" s="75" t="str">
        <f aca="false">IF(H54="","",IF(2&gt;IF(H57="",10,H57),"",H54*(1+IF(H55="",0,H55))^ROUNDDOWN((2-1)/IF(H56="",5,H56),0)))</f>
        <v/>
      </c>
      <c r="S89" s="75" t="str">
        <f aca="false">IF(R89="","",IF((IF(H64="",IF($D$35="",0,$D$35),H64))=0,0,MAX(0,2960040-(IF(H65&lt;&gt;"",H65,IF($D$37&lt;&gt;"",$D$37,IF((IF(H64="",IF($D$35="",0,$D$35),H64))=0,0,H54/(IF(H64="",IF($D$35="",0,$D$35),H64)))))))*(IF(H64="",IF($D$35="",0,$D$35),H64))))</f>
        <v/>
      </c>
      <c r="T89" s="75" t="str">
        <f aca="false">IF(R89="","",R89+S89)</f>
        <v/>
      </c>
    </row>
    <row r="90" customFormat="false" ht="15" hidden="false" customHeight="false" outlineLevel="0" collapsed="false">
      <c r="A90" s="74" t="n">
        <v>3</v>
      </c>
      <c r="B90" s="75" t="n">
        <v>3019241</v>
      </c>
      <c r="C90" s="76" t="n">
        <v>131769</v>
      </c>
      <c r="D90" s="76" t="n">
        <v>0</v>
      </c>
      <c r="E90" s="76" t="n">
        <v>131769</v>
      </c>
      <c r="F90" s="75" t="n">
        <f aca="false">IF(D54="","",IF(3&gt;IF(D57="",10,D57),"",D54*(1+IF(D55="",0,D55))^ROUNDDOWN((3-1)/IF(D56="",5,D56),0)))</f>
        <v>131769</v>
      </c>
      <c r="G90" s="75" t="n">
        <f aca="false">IF(F90="","",IF((IF(D64="",IF($D$35="",0,$D$35),D64))=0,0,MAX(0,3019240.8-(IF(D65&lt;&gt;"",D65,IF($D$37&lt;&gt;"",$D$37,IF((IF(D64="",IF($D$35="",0,$D$35),D64))=0,0,D54/(IF(D64="",IF($D$35="",0,$D$35),D64)))))))*(IF(D64="",IF($D$35="",0,$D$35),D64))))</f>
        <v>0</v>
      </c>
      <c r="H90" s="75" t="n">
        <f aca="false">IF(F90="","",F90+G90)</f>
        <v>131769</v>
      </c>
      <c r="I90" s="75" t="str">
        <f aca="false">IF(E54="","",IF(3&gt;IF(E57="",10,E57),"",E54*(1+IF(E55="",0,E55))^ROUNDDOWN((3-1)/IF(E56="",5,E56),0)))</f>
        <v/>
      </c>
      <c r="J90" s="75" t="str">
        <f aca="false">IF(I90="","",IF((IF(E64="",IF($D$35="",0,$D$35),E64))=0,0,MAX(0,3019240.8-(IF(E65&lt;&gt;"",E65,IF($D$37&lt;&gt;"",$D$37,IF((IF(E64="",IF($D$35="",0,$D$35),E64))=0,0,E54/(IF(E64="",IF($D$35="",0,$D$35),E64)))))))*(IF(E64="",IF($D$35="",0,$D$35),E64))))</f>
        <v/>
      </c>
      <c r="K90" s="75" t="str">
        <f aca="false">IF(I90="","",I90+J90)</f>
        <v/>
      </c>
      <c r="L90" s="75" t="str">
        <f aca="false">IF(F54="","",IF(3&gt;IF(F57="",10,F57),"",F54*(1+IF(F55="",0,F55))^ROUNDDOWN((3-1)/IF(F56="",5,F56),0)))</f>
        <v/>
      </c>
      <c r="M90" s="75" t="str">
        <f aca="false">IF(L90="","",IF((IF(F64="",IF($D$35="",0,$D$35),F64))=0,0,MAX(0,3019240.8-(IF(F65&lt;&gt;"",F65,IF($D$37&lt;&gt;"",$D$37,IF((IF(F64="",IF($D$35="",0,$D$35),F64))=0,0,F54/(IF(F64="",IF($D$35="",0,$D$35),F64)))))))*(IF(F64="",IF($D$35="",0,$D$35),F64))))</f>
        <v/>
      </c>
      <c r="N90" s="75" t="str">
        <f aca="false">IF(L90="","",L90+M90)</f>
        <v/>
      </c>
      <c r="O90" s="75" t="str">
        <f aca="false">IF(G54="","",IF(3&gt;IF(G57="",10,G57),"",G54*(1+IF(G55="",0,G55))^ROUNDDOWN((3-1)/IF(G56="",5,G56),0)))</f>
        <v/>
      </c>
      <c r="P90" s="75" t="str">
        <f aca="false">IF(O90="","",IF((IF(G64="",IF($D$35="",0,$D$35),G64))=0,0,MAX(0,3019240.8-(IF(G65&lt;&gt;"",G65,IF($D$37&lt;&gt;"",$D$37,IF((IF(G64="",IF($D$35="",0,$D$35),G64))=0,0,G54/(IF(G64="",IF($D$35="",0,$D$35),G64)))))))*(IF(G64="",IF($D$35="",0,$D$35),G64))))</f>
        <v/>
      </c>
      <c r="Q90" s="75" t="str">
        <f aca="false">IF(O90="","",O90+P90)</f>
        <v/>
      </c>
      <c r="R90" s="75" t="str">
        <f aca="false">IF(H54="","",IF(3&gt;IF(H57="",10,H57),"",H54*(1+IF(H55="",0,H55))^ROUNDDOWN((3-1)/IF(H56="",5,H56),0)))</f>
        <v/>
      </c>
      <c r="S90" s="75" t="str">
        <f aca="false">IF(R90="","",IF((IF(H64="",IF($D$35="",0,$D$35),H64))=0,0,MAX(0,3019240.8-(IF(H65&lt;&gt;"",H65,IF($D$37&lt;&gt;"",$D$37,IF((IF(H64="",IF($D$35="",0,$D$35),H64))=0,0,H54/(IF(H64="",IF($D$35="",0,$D$35),H64)))))))*(IF(H64="",IF($D$35="",0,$D$35),H64))))</f>
        <v/>
      </c>
      <c r="T90" s="75" t="str">
        <f aca="false">IF(R90="","",R90+S90)</f>
        <v/>
      </c>
    </row>
    <row r="91" customFormat="false" ht="15" hidden="false" customHeight="false" outlineLevel="0" collapsed="false">
      <c r="A91" s="74" t="n">
        <v>4</v>
      </c>
      <c r="B91" s="75" t="n">
        <v>3079626</v>
      </c>
      <c r="C91" s="76" t="n">
        <v>131769</v>
      </c>
      <c r="D91" s="76" t="n">
        <v>0</v>
      </c>
      <c r="E91" s="76" t="n">
        <v>131769</v>
      </c>
      <c r="F91" s="75" t="n">
        <f aca="false">IF(D54="","",IF(4&gt;IF(D57="",10,D57),"",D54*(1+IF(D55="",0,D55))^ROUNDDOWN((4-1)/IF(D56="",5,D56),0)))</f>
        <v>131769</v>
      </c>
      <c r="G91" s="75" t="n">
        <f aca="false">IF(F91="","",IF((IF(D64="",IF($D$35="",0,$D$35),D64))=0,0,MAX(0,3079625.62-(IF(D65&lt;&gt;"",D65,IF($D$37&lt;&gt;"",$D$37,IF((IF(D64="",IF($D$35="",0,$D$35),D64))=0,0,D54/(IF(D64="",IF($D$35="",0,$D$35),D64)))))))*(IF(D64="",IF($D$35="",0,$D$35),D64))))</f>
        <v>0</v>
      </c>
      <c r="H91" s="75" t="n">
        <f aca="false">IF(F91="","",F91+G91)</f>
        <v>131769</v>
      </c>
      <c r="I91" s="75" t="str">
        <f aca="false">IF(E54="","",IF(4&gt;IF(E57="",10,E57),"",E54*(1+IF(E55="",0,E55))^ROUNDDOWN((4-1)/IF(E56="",5,E56),0)))</f>
        <v/>
      </c>
      <c r="J91" s="75" t="str">
        <f aca="false">IF(I91="","",IF((IF(E64="",IF($D$35="",0,$D$35),E64))=0,0,MAX(0,3079625.62-(IF(E65&lt;&gt;"",E65,IF($D$37&lt;&gt;"",$D$37,IF((IF(E64="",IF($D$35="",0,$D$35),E64))=0,0,E54/(IF(E64="",IF($D$35="",0,$D$35),E64)))))))*(IF(E64="",IF($D$35="",0,$D$35),E64))))</f>
        <v/>
      </c>
      <c r="K91" s="75" t="str">
        <f aca="false">IF(I91="","",I91+J91)</f>
        <v/>
      </c>
      <c r="L91" s="75" t="str">
        <f aca="false">IF(F54="","",IF(4&gt;IF(F57="",10,F57),"",F54*(1+IF(F55="",0,F55))^ROUNDDOWN((4-1)/IF(F56="",5,F56),0)))</f>
        <v/>
      </c>
      <c r="M91" s="75" t="str">
        <f aca="false">IF(L91="","",IF((IF(F64="",IF($D$35="",0,$D$35),F64))=0,0,MAX(0,3079625.62-(IF(F65&lt;&gt;"",F65,IF($D$37&lt;&gt;"",$D$37,IF((IF(F64="",IF($D$35="",0,$D$35),F64))=0,0,F54/(IF(F64="",IF($D$35="",0,$D$35),F64)))))))*(IF(F64="",IF($D$35="",0,$D$35),F64))))</f>
        <v/>
      </c>
      <c r="N91" s="75" t="str">
        <f aca="false">IF(L91="","",L91+M91)</f>
        <v/>
      </c>
      <c r="O91" s="75" t="str">
        <f aca="false">IF(G54="","",IF(4&gt;IF(G57="",10,G57),"",G54*(1+IF(G55="",0,G55))^ROUNDDOWN((4-1)/IF(G56="",5,G56),0)))</f>
        <v/>
      </c>
      <c r="P91" s="75" t="str">
        <f aca="false">IF(O91="","",IF((IF(G64="",IF($D$35="",0,$D$35),G64))=0,0,MAX(0,3079625.62-(IF(G65&lt;&gt;"",G65,IF($D$37&lt;&gt;"",$D$37,IF((IF(G64="",IF($D$35="",0,$D$35),G64))=0,0,G54/(IF(G64="",IF($D$35="",0,$D$35),G64)))))))*(IF(G64="",IF($D$35="",0,$D$35),G64))))</f>
        <v/>
      </c>
      <c r="Q91" s="75" t="str">
        <f aca="false">IF(O91="","",O91+P91)</f>
        <v/>
      </c>
      <c r="R91" s="75" t="str">
        <f aca="false">IF(H54="","",IF(4&gt;IF(H57="",10,H57),"",H54*(1+IF(H55="",0,H55))^ROUNDDOWN((4-1)/IF(H56="",5,H56),0)))</f>
        <v/>
      </c>
      <c r="S91" s="75" t="str">
        <f aca="false">IF(R91="","",IF((IF(H64="",IF($D$35="",0,$D$35),H64))=0,0,MAX(0,3079625.62-(IF(H65&lt;&gt;"",H65,IF($D$37&lt;&gt;"",$D$37,IF((IF(H64="",IF($D$35="",0,$D$35),H64))=0,0,H54/(IF(H64="",IF($D$35="",0,$D$35),H64)))))))*(IF(H64="",IF($D$35="",0,$D$35),H64))))</f>
        <v/>
      </c>
      <c r="T91" s="75" t="str">
        <f aca="false">IF(R91="","",R91+S91)</f>
        <v/>
      </c>
    </row>
    <row r="92" customFormat="false" ht="15" hidden="false" customHeight="false" outlineLevel="0" collapsed="false">
      <c r="A92" s="74" t="n">
        <v>5</v>
      </c>
      <c r="B92" s="75" t="n">
        <v>3141218</v>
      </c>
      <c r="C92" s="76" t="n">
        <v>131769</v>
      </c>
      <c r="D92" s="76" t="n">
        <v>0</v>
      </c>
      <c r="E92" s="76" t="n">
        <v>131769</v>
      </c>
      <c r="F92" s="75" t="n">
        <f aca="false">IF(D54="","",IF(5&gt;IF(D57="",10,D57),"",D54*(1+IF(D55="",0,D55))^ROUNDDOWN((5-1)/IF(D56="",5,D56),0)))</f>
        <v>131769</v>
      </c>
      <c r="G92" s="75" t="n">
        <f aca="false">IF(F92="","",IF((IF(D64="",IF($D$35="",0,$D$35),D64))=0,0,MAX(0,3141218.13-(IF(D65&lt;&gt;"",D65,IF($D$37&lt;&gt;"",$D$37,IF((IF(D64="",IF($D$35="",0,$D$35),D64))=0,0,D54/(IF(D64="",IF($D$35="",0,$D$35),D64)))))))*(IF(D64="",IF($D$35="",0,$D$35),D64))))</f>
        <v>0</v>
      </c>
      <c r="H92" s="75" t="n">
        <f aca="false">IF(F92="","",F92+G92)</f>
        <v>131769</v>
      </c>
      <c r="I92" s="75" t="str">
        <f aca="false">IF(E54="","",IF(5&gt;IF(E57="",10,E57),"",E54*(1+IF(E55="",0,E55))^ROUNDDOWN((5-1)/IF(E56="",5,E56),0)))</f>
        <v/>
      </c>
      <c r="J92" s="75" t="str">
        <f aca="false">IF(I92="","",IF((IF(E64="",IF($D$35="",0,$D$35),E64))=0,0,MAX(0,3141218.13-(IF(E65&lt;&gt;"",E65,IF($D$37&lt;&gt;"",$D$37,IF((IF(E64="",IF($D$35="",0,$D$35),E64))=0,0,E54/(IF(E64="",IF($D$35="",0,$D$35),E64)))))))*(IF(E64="",IF($D$35="",0,$D$35),E64))))</f>
        <v/>
      </c>
      <c r="K92" s="75" t="str">
        <f aca="false">IF(I92="","",I92+J92)</f>
        <v/>
      </c>
      <c r="L92" s="75" t="str">
        <f aca="false">IF(F54="","",IF(5&gt;IF(F57="",10,F57),"",F54*(1+IF(F55="",0,F55))^ROUNDDOWN((5-1)/IF(F56="",5,F56),0)))</f>
        <v/>
      </c>
      <c r="M92" s="75" t="str">
        <f aca="false">IF(L92="","",IF((IF(F64="",IF($D$35="",0,$D$35),F64))=0,0,MAX(0,3141218.13-(IF(F65&lt;&gt;"",F65,IF($D$37&lt;&gt;"",$D$37,IF((IF(F64="",IF($D$35="",0,$D$35),F64))=0,0,F54/(IF(F64="",IF($D$35="",0,$D$35),F64)))))))*(IF(F64="",IF($D$35="",0,$D$35),F64))))</f>
        <v/>
      </c>
      <c r="N92" s="75" t="str">
        <f aca="false">IF(L92="","",L92+M92)</f>
        <v/>
      </c>
      <c r="O92" s="75" t="str">
        <f aca="false">IF(G54="","",IF(5&gt;IF(G57="",10,G57),"",G54*(1+IF(G55="",0,G55))^ROUNDDOWN((5-1)/IF(G56="",5,G56),0)))</f>
        <v/>
      </c>
      <c r="P92" s="75" t="str">
        <f aca="false">IF(O92="","",IF((IF(G64="",IF($D$35="",0,$D$35),G64))=0,0,MAX(0,3141218.13-(IF(G65&lt;&gt;"",G65,IF($D$37&lt;&gt;"",$D$37,IF((IF(G64="",IF($D$35="",0,$D$35),G64))=0,0,G54/(IF(G64="",IF($D$35="",0,$D$35),G64)))))))*(IF(G64="",IF($D$35="",0,$D$35),G64))))</f>
        <v/>
      </c>
      <c r="Q92" s="75" t="str">
        <f aca="false">IF(O92="","",O92+P92)</f>
        <v/>
      </c>
      <c r="R92" s="75" t="str">
        <f aca="false">IF(H54="","",IF(5&gt;IF(H57="",10,H57),"",H54*(1+IF(H55="",0,H55))^ROUNDDOWN((5-1)/IF(H56="",5,H56),0)))</f>
        <v/>
      </c>
      <c r="S92" s="75" t="str">
        <f aca="false">IF(R92="","",IF((IF(H64="",IF($D$35="",0,$D$35),H64))=0,0,MAX(0,3141218.13-(IF(H65&lt;&gt;"",H65,IF($D$37&lt;&gt;"",$D$37,IF((IF(H64="",IF($D$35="",0,$D$35),H64))=0,0,H54/(IF(H64="",IF($D$35="",0,$D$35),H64)))))))*(IF(H64="",IF($D$35="",0,$D$35),H64))))</f>
        <v/>
      </c>
      <c r="T92" s="75" t="str">
        <f aca="false">IF(R92="","",R92+S92)</f>
        <v/>
      </c>
    </row>
    <row r="93" customFormat="false" ht="15" hidden="false" customHeight="false" outlineLevel="0" collapsed="false">
      <c r="A93" s="74" t="n">
        <v>6</v>
      </c>
      <c r="B93" s="75" t="n">
        <v>3204042</v>
      </c>
      <c r="C93" s="76" t="n">
        <v>144946</v>
      </c>
      <c r="D93" s="76" t="n">
        <v>0</v>
      </c>
      <c r="E93" s="76" t="n">
        <v>144946</v>
      </c>
      <c r="F93" s="75" t="n">
        <f aca="false">IF(D54="","",IF(6&gt;IF(D57="",10,D57),"",D54*(1+IF(D55="",0,D55))^ROUNDDOWN((6-1)/IF(D56="",5,D56),0)))</f>
        <v>134404.38</v>
      </c>
      <c r="G93" s="75" t="n">
        <f aca="false">IF(F93="","",IF((IF(D64="",IF($D$35="",0,$D$35),D64))=0,0,MAX(0,3204042.49-(IF(D65&lt;&gt;"",D65,IF($D$37&lt;&gt;"",$D$37,IF((IF(D64="",IF($D$35="",0,$D$35),D64))=0,0,D54/(IF(D64="",IF($D$35="",0,$D$35),D64)))))))*(IF(D64="",IF($D$35="",0,$D$35),D64))))</f>
        <v>0</v>
      </c>
      <c r="H93" s="75" t="n">
        <f aca="false">IF(F93="","",F93+G93)</f>
        <v>134404.38</v>
      </c>
      <c r="I93" s="75" t="str">
        <f aca="false">IF(E54="","",IF(6&gt;IF(E57="",10,E57),"",E54*(1+IF(E55="",0,E55))^ROUNDDOWN((6-1)/IF(E56="",5,E56),0)))</f>
        <v/>
      </c>
      <c r="J93" s="75" t="str">
        <f aca="false">IF(I93="","",IF((IF(E64="",IF($D$35="",0,$D$35),E64))=0,0,MAX(0,3204042.49-(IF(E65&lt;&gt;"",E65,IF($D$37&lt;&gt;"",$D$37,IF((IF(E64="",IF($D$35="",0,$D$35),E64))=0,0,E54/(IF(E64="",IF($D$35="",0,$D$35),E64)))))))*(IF(E64="",IF($D$35="",0,$D$35),E64))))</f>
        <v/>
      </c>
      <c r="K93" s="75" t="str">
        <f aca="false">IF(I93="","",I93+J93)</f>
        <v/>
      </c>
      <c r="L93" s="75" t="str">
        <f aca="false">IF(F54="","",IF(6&gt;IF(F57="",10,F57),"",F54*(1+IF(F55="",0,F55))^ROUNDDOWN((6-1)/IF(F56="",5,F56),0)))</f>
        <v/>
      </c>
      <c r="M93" s="75" t="str">
        <f aca="false">IF(L93="","",IF((IF(F64="",IF($D$35="",0,$D$35),F64))=0,0,MAX(0,3204042.49-(IF(F65&lt;&gt;"",F65,IF($D$37&lt;&gt;"",$D$37,IF((IF(F64="",IF($D$35="",0,$D$35),F64))=0,0,F54/(IF(F64="",IF($D$35="",0,$D$35),F64)))))))*(IF(F64="",IF($D$35="",0,$D$35),F64))))</f>
        <v/>
      </c>
      <c r="N93" s="75" t="str">
        <f aca="false">IF(L93="","",L93+M93)</f>
        <v/>
      </c>
      <c r="O93" s="75" t="str">
        <f aca="false">IF(G54="","",IF(6&gt;IF(G57="",10,G57),"",G54*(1+IF(G55="",0,G55))^ROUNDDOWN((6-1)/IF(G56="",5,G56),0)))</f>
        <v/>
      </c>
      <c r="P93" s="75" t="str">
        <f aca="false">IF(O93="","",IF((IF(G64="",IF($D$35="",0,$D$35),G64))=0,0,MAX(0,3204042.49-(IF(G65&lt;&gt;"",G65,IF($D$37&lt;&gt;"",$D$37,IF((IF(G64="",IF($D$35="",0,$D$35),G64))=0,0,G54/(IF(G64="",IF($D$35="",0,$D$35),G64)))))))*(IF(G64="",IF($D$35="",0,$D$35),G64))))</f>
        <v/>
      </c>
      <c r="Q93" s="75" t="str">
        <f aca="false">IF(O93="","",O93+P93)</f>
        <v/>
      </c>
      <c r="R93" s="75" t="str">
        <f aca="false">IF(H54="","",IF(6&gt;IF(H57="",10,H57),"",H54*(1+IF(H55="",0,H55))^ROUNDDOWN((6-1)/IF(H56="",5,H56),0)))</f>
        <v/>
      </c>
      <c r="S93" s="75" t="str">
        <f aca="false">IF(R93="","",IF((IF(H64="",IF($D$35="",0,$D$35),H64))=0,0,MAX(0,3204042.49-(IF(H65&lt;&gt;"",H65,IF($D$37&lt;&gt;"",$D$37,IF((IF(H64="",IF($D$35="",0,$D$35),H64))=0,0,H54/(IF(H64="",IF($D$35="",0,$D$35),H64)))))))*(IF(H64="",IF($D$35="",0,$D$35),H64))))</f>
        <v/>
      </c>
      <c r="T93" s="75" t="str">
        <f aca="false">IF(R93="","",R93+S93)</f>
        <v/>
      </c>
    </row>
    <row r="94" customFormat="false" ht="15" hidden="false" customHeight="false" outlineLevel="0" collapsed="false">
      <c r="A94" s="74" t="n">
        <v>7</v>
      </c>
      <c r="B94" s="75" t="n">
        <v>3268123</v>
      </c>
      <c r="C94" s="76" t="n">
        <v>144946</v>
      </c>
      <c r="D94" s="76" t="n">
        <v>0</v>
      </c>
      <c r="E94" s="76" t="n">
        <v>144946</v>
      </c>
      <c r="F94" s="75" t="n">
        <f aca="false">IF(D54="","",IF(7&gt;IF(D57="",10,D57),"",D54*(1+IF(D55="",0,D55))^ROUNDDOWN((7-1)/IF(D56="",5,D56),0)))</f>
        <v>134404.38</v>
      </c>
      <c r="G94" s="75" t="n">
        <f aca="false">IF(F94="","",IF((IF(D64="",IF($D$35="",0,$D$35),D64))=0,0,MAX(0,3268123.34-(IF(D65&lt;&gt;"",D65,IF($D$37&lt;&gt;"",$D$37,IF((IF(D64="",IF($D$35="",0,$D$35),D64))=0,0,D54/(IF(D64="",IF($D$35="",0,$D$35),D64)))))))*(IF(D64="",IF($D$35="",0,$D$35),D64))))</f>
        <v>0</v>
      </c>
      <c r="H94" s="75" t="n">
        <f aca="false">IF(F94="","",F94+G94)</f>
        <v>134404.38</v>
      </c>
      <c r="I94" s="75" t="str">
        <f aca="false">IF(E54="","",IF(7&gt;IF(E57="",10,E57),"",E54*(1+IF(E55="",0,E55))^ROUNDDOWN((7-1)/IF(E56="",5,E56),0)))</f>
        <v/>
      </c>
      <c r="J94" s="75" t="str">
        <f aca="false">IF(I94="","",IF((IF(E64="",IF($D$35="",0,$D$35),E64))=0,0,MAX(0,3268123.34-(IF(E65&lt;&gt;"",E65,IF($D$37&lt;&gt;"",$D$37,IF((IF(E64="",IF($D$35="",0,$D$35),E64))=0,0,E54/(IF(E64="",IF($D$35="",0,$D$35),E64)))))))*(IF(E64="",IF($D$35="",0,$D$35),E64))))</f>
        <v/>
      </c>
      <c r="K94" s="75" t="str">
        <f aca="false">IF(I94="","",I94+J94)</f>
        <v/>
      </c>
      <c r="L94" s="75" t="str">
        <f aca="false">IF(F54="","",IF(7&gt;IF(F57="",10,F57),"",F54*(1+IF(F55="",0,F55))^ROUNDDOWN((7-1)/IF(F56="",5,F56),0)))</f>
        <v/>
      </c>
      <c r="M94" s="75" t="str">
        <f aca="false">IF(L94="","",IF((IF(F64="",IF($D$35="",0,$D$35),F64))=0,0,MAX(0,3268123.34-(IF(F65&lt;&gt;"",F65,IF($D$37&lt;&gt;"",$D$37,IF((IF(F64="",IF($D$35="",0,$D$35),F64))=0,0,F54/(IF(F64="",IF($D$35="",0,$D$35),F64)))))))*(IF(F64="",IF($D$35="",0,$D$35),F64))))</f>
        <v/>
      </c>
      <c r="N94" s="75" t="str">
        <f aca="false">IF(L94="","",L94+M94)</f>
        <v/>
      </c>
      <c r="O94" s="75" t="str">
        <f aca="false">IF(G54="","",IF(7&gt;IF(G57="",10,G57),"",G54*(1+IF(G55="",0,G55))^ROUNDDOWN((7-1)/IF(G56="",5,G56),0)))</f>
        <v/>
      </c>
      <c r="P94" s="75" t="str">
        <f aca="false">IF(O94="","",IF((IF(G64="",IF($D$35="",0,$D$35),G64))=0,0,MAX(0,3268123.34-(IF(G65&lt;&gt;"",G65,IF($D$37&lt;&gt;"",$D$37,IF((IF(G64="",IF($D$35="",0,$D$35),G64))=0,0,G54/(IF(G64="",IF($D$35="",0,$D$35),G64)))))))*(IF(G64="",IF($D$35="",0,$D$35),G64))))</f>
        <v/>
      </c>
      <c r="Q94" s="75" t="str">
        <f aca="false">IF(O94="","",O94+P94)</f>
        <v/>
      </c>
      <c r="R94" s="75" t="str">
        <f aca="false">IF(H54="","",IF(7&gt;IF(H57="",10,H57),"",H54*(1+IF(H55="",0,H55))^ROUNDDOWN((7-1)/IF(H56="",5,H56),0)))</f>
        <v/>
      </c>
      <c r="S94" s="75" t="str">
        <f aca="false">IF(R94="","",IF((IF(H64="",IF($D$35="",0,$D$35),H64))=0,0,MAX(0,3268123.34-(IF(H65&lt;&gt;"",H65,IF($D$37&lt;&gt;"",$D$37,IF((IF(H64="",IF($D$35="",0,$D$35),H64))=0,0,H54/(IF(H64="",IF($D$35="",0,$D$35),H64)))))))*(IF(H64="",IF($D$35="",0,$D$35),H64))))</f>
        <v/>
      </c>
      <c r="T94" s="75" t="str">
        <f aca="false">IF(R94="","",R94+S94)</f>
        <v/>
      </c>
    </row>
    <row r="95" customFormat="false" ht="15" hidden="false" customHeight="false" outlineLevel="0" collapsed="false">
      <c r="A95" s="74" t="n">
        <v>8</v>
      </c>
      <c r="B95" s="75" t="n">
        <v>3333486</v>
      </c>
      <c r="C95" s="76" t="n">
        <v>144946</v>
      </c>
      <c r="D95" s="76" t="n">
        <v>0</v>
      </c>
      <c r="E95" s="76" t="n">
        <v>144946</v>
      </c>
      <c r="F95" s="75" t="n">
        <f aca="false">IF(D54="","",IF(8&gt;IF(D57="",10,D57),"",D54*(1+IF(D55="",0,D55))^ROUNDDOWN((8-1)/IF(D56="",5,D56),0)))</f>
        <v>134404.38</v>
      </c>
      <c r="G95" s="75" t="n">
        <f aca="false">IF(F95="","",IF((IF(D64="",IF($D$35="",0,$D$35),D64))=0,0,MAX(0,3333485.81-(IF(D65&lt;&gt;"",D65,IF($D$37&lt;&gt;"",$D$37,IF((IF(D64="",IF($D$35="",0,$D$35),D64))=0,0,D54/(IF(D64="",IF($D$35="",0,$D$35),D64)))))))*(IF(D64="",IF($D$35="",0,$D$35),D64))))</f>
        <v>0</v>
      </c>
      <c r="H95" s="75" t="n">
        <f aca="false">IF(F95="","",F95+G95)</f>
        <v>134404.38</v>
      </c>
      <c r="I95" s="75" t="str">
        <f aca="false">IF(E54="","",IF(8&gt;IF(E57="",10,E57),"",E54*(1+IF(E55="",0,E55))^ROUNDDOWN((8-1)/IF(E56="",5,E56),0)))</f>
        <v/>
      </c>
      <c r="J95" s="75" t="str">
        <f aca="false">IF(I95="","",IF((IF(E64="",IF($D$35="",0,$D$35),E64))=0,0,MAX(0,3333485.81-(IF(E65&lt;&gt;"",E65,IF($D$37&lt;&gt;"",$D$37,IF((IF(E64="",IF($D$35="",0,$D$35),E64))=0,0,E54/(IF(E64="",IF($D$35="",0,$D$35),E64)))))))*(IF(E64="",IF($D$35="",0,$D$35),E64))))</f>
        <v/>
      </c>
      <c r="K95" s="75" t="str">
        <f aca="false">IF(I95="","",I95+J95)</f>
        <v/>
      </c>
      <c r="L95" s="75" t="str">
        <f aca="false">IF(F54="","",IF(8&gt;IF(F57="",10,F57),"",F54*(1+IF(F55="",0,F55))^ROUNDDOWN((8-1)/IF(F56="",5,F56),0)))</f>
        <v/>
      </c>
      <c r="M95" s="75" t="str">
        <f aca="false">IF(L95="","",IF((IF(F64="",IF($D$35="",0,$D$35),F64))=0,0,MAX(0,3333485.81-(IF(F65&lt;&gt;"",F65,IF($D$37&lt;&gt;"",$D$37,IF((IF(F64="",IF($D$35="",0,$D$35),F64))=0,0,F54/(IF(F64="",IF($D$35="",0,$D$35),F64)))))))*(IF(F64="",IF($D$35="",0,$D$35),F64))))</f>
        <v/>
      </c>
      <c r="N95" s="75" t="str">
        <f aca="false">IF(L95="","",L95+M95)</f>
        <v/>
      </c>
      <c r="O95" s="75" t="str">
        <f aca="false">IF(G54="","",IF(8&gt;IF(G57="",10,G57),"",G54*(1+IF(G55="",0,G55))^ROUNDDOWN((8-1)/IF(G56="",5,G56),0)))</f>
        <v/>
      </c>
      <c r="P95" s="75" t="str">
        <f aca="false">IF(O95="","",IF((IF(G64="",IF($D$35="",0,$D$35),G64))=0,0,MAX(0,3333485.81-(IF(G65&lt;&gt;"",G65,IF($D$37&lt;&gt;"",$D$37,IF((IF(G64="",IF($D$35="",0,$D$35),G64))=0,0,G54/(IF(G64="",IF($D$35="",0,$D$35),G64)))))))*(IF(G64="",IF($D$35="",0,$D$35),G64))))</f>
        <v/>
      </c>
      <c r="Q95" s="75" t="str">
        <f aca="false">IF(O95="","",O95+P95)</f>
        <v/>
      </c>
      <c r="R95" s="75" t="str">
        <f aca="false">IF(H54="","",IF(8&gt;IF(H57="",10,H57),"",H54*(1+IF(H55="",0,H55))^ROUNDDOWN((8-1)/IF(H56="",5,H56),0)))</f>
        <v/>
      </c>
      <c r="S95" s="75" t="str">
        <f aca="false">IF(R95="","",IF((IF(H64="",IF($D$35="",0,$D$35),H64))=0,0,MAX(0,3333485.81-(IF(H65&lt;&gt;"",H65,IF($D$37&lt;&gt;"",$D$37,IF((IF(H64="",IF($D$35="",0,$D$35),H64))=0,0,H54/(IF(H64="",IF($D$35="",0,$D$35),H64)))))))*(IF(H64="",IF($D$35="",0,$D$35),H64))))</f>
        <v/>
      </c>
      <c r="T95" s="75" t="str">
        <f aca="false">IF(R95="","",R95+S95)</f>
        <v/>
      </c>
    </row>
    <row r="96" customFormat="false" ht="15" hidden="false" customHeight="false" outlineLevel="0" collapsed="false">
      <c r="A96" s="74" t="n">
        <v>9</v>
      </c>
      <c r="B96" s="75" t="n">
        <v>3400156</v>
      </c>
      <c r="C96" s="76" t="n">
        <v>144946</v>
      </c>
      <c r="D96" s="76" t="n">
        <v>0</v>
      </c>
      <c r="E96" s="76" t="n">
        <v>144946</v>
      </c>
      <c r="F96" s="75" t="n">
        <f aca="false">IF(D54="","",IF(9&gt;IF(D57="",10,D57),"",D54*(1+IF(D55="",0,D55))^ROUNDDOWN((9-1)/IF(D56="",5,D56),0)))</f>
        <v>134404.38</v>
      </c>
      <c r="G96" s="75" t="n">
        <f aca="false">IF(F96="","",IF((IF(D64="",IF($D$35="",0,$D$35),D64))=0,0,MAX(0,3400155.52-(IF(D65&lt;&gt;"",D65,IF($D$37&lt;&gt;"",$D$37,IF((IF(D64="",IF($D$35="",0,$D$35),D64))=0,0,D54/(IF(D64="",IF($D$35="",0,$D$35),D64)))))))*(IF(D64="",IF($D$35="",0,$D$35),D64))))</f>
        <v>0</v>
      </c>
      <c r="H96" s="75" t="n">
        <f aca="false">IF(F96="","",F96+G96)</f>
        <v>134404.38</v>
      </c>
      <c r="I96" s="75" t="str">
        <f aca="false">IF(E54="","",IF(9&gt;IF(E57="",10,E57),"",E54*(1+IF(E55="",0,E55))^ROUNDDOWN((9-1)/IF(E56="",5,E56),0)))</f>
        <v/>
      </c>
      <c r="J96" s="75" t="str">
        <f aca="false">IF(I96="","",IF((IF(E64="",IF($D$35="",0,$D$35),E64))=0,0,MAX(0,3400155.52-(IF(E65&lt;&gt;"",E65,IF($D$37&lt;&gt;"",$D$37,IF((IF(E64="",IF($D$35="",0,$D$35),E64))=0,0,E54/(IF(E64="",IF($D$35="",0,$D$35),E64)))))))*(IF(E64="",IF($D$35="",0,$D$35),E64))))</f>
        <v/>
      </c>
      <c r="K96" s="75" t="str">
        <f aca="false">IF(I96="","",I96+J96)</f>
        <v/>
      </c>
      <c r="L96" s="75" t="str">
        <f aca="false">IF(F54="","",IF(9&gt;IF(F57="",10,F57),"",F54*(1+IF(F55="",0,F55))^ROUNDDOWN((9-1)/IF(F56="",5,F56),0)))</f>
        <v/>
      </c>
      <c r="M96" s="75" t="str">
        <f aca="false">IF(L96="","",IF((IF(F64="",IF($D$35="",0,$D$35),F64))=0,0,MAX(0,3400155.52-(IF(F65&lt;&gt;"",F65,IF($D$37&lt;&gt;"",$D$37,IF((IF(F64="",IF($D$35="",0,$D$35),F64))=0,0,F54/(IF(F64="",IF($D$35="",0,$D$35),F64)))))))*(IF(F64="",IF($D$35="",0,$D$35),F64))))</f>
        <v/>
      </c>
      <c r="N96" s="75" t="str">
        <f aca="false">IF(L96="","",L96+M96)</f>
        <v/>
      </c>
      <c r="O96" s="75" t="str">
        <f aca="false">IF(G54="","",IF(9&gt;IF(G57="",10,G57),"",G54*(1+IF(G55="",0,G55))^ROUNDDOWN((9-1)/IF(G56="",5,G56),0)))</f>
        <v/>
      </c>
      <c r="P96" s="75" t="str">
        <f aca="false">IF(O96="","",IF((IF(G64="",IF($D$35="",0,$D$35),G64))=0,0,MAX(0,3400155.52-(IF(G65&lt;&gt;"",G65,IF($D$37&lt;&gt;"",$D$37,IF((IF(G64="",IF($D$35="",0,$D$35),G64))=0,0,G54/(IF(G64="",IF($D$35="",0,$D$35),G64)))))))*(IF(G64="",IF($D$35="",0,$D$35),G64))))</f>
        <v/>
      </c>
      <c r="Q96" s="75" t="str">
        <f aca="false">IF(O96="","",O96+P96)</f>
        <v/>
      </c>
      <c r="R96" s="75" t="str">
        <f aca="false">IF(H54="","",IF(9&gt;IF(H57="",10,H57),"",H54*(1+IF(H55="",0,H55))^ROUNDDOWN((9-1)/IF(H56="",5,H56),0)))</f>
        <v/>
      </c>
      <c r="S96" s="75" t="str">
        <f aca="false">IF(R96="","",IF((IF(H64="",IF($D$35="",0,$D$35),H64))=0,0,MAX(0,3400155.52-(IF(H65&lt;&gt;"",H65,IF($D$37&lt;&gt;"",$D$37,IF((IF(H64="",IF($D$35="",0,$D$35),H64))=0,0,H54/(IF(H64="",IF($D$35="",0,$D$35),H64)))))))*(IF(H64="",IF($D$35="",0,$D$35),H64))))</f>
        <v/>
      </c>
      <c r="T96" s="75" t="str">
        <f aca="false">IF(R96="","",R96+S96)</f>
        <v/>
      </c>
    </row>
    <row r="97" customFormat="false" ht="15" hidden="false" customHeight="false" outlineLevel="0" collapsed="false">
      <c r="A97" s="74" t="n">
        <v>10</v>
      </c>
      <c r="B97" s="75" t="n">
        <v>3468159</v>
      </c>
      <c r="C97" s="76" t="n">
        <v>144946</v>
      </c>
      <c r="D97" s="76" t="n">
        <v>0</v>
      </c>
      <c r="E97" s="76" t="n">
        <v>144946</v>
      </c>
      <c r="F97" s="75" t="n">
        <f aca="false">IF(D54="","",IF(10&gt;IF(D57="",10,D57),"",D54*(1+IF(D55="",0,D55))^ROUNDDOWN((10-1)/IF(D56="",5,D56),0)))</f>
        <v>134404.38</v>
      </c>
      <c r="G97" s="75" t="n">
        <f aca="false">IF(F97="","",IF((IF(D64="",IF($D$35="",0,$D$35),D64))=0,0,MAX(0,3468158.63-(IF(D65&lt;&gt;"",D65,IF($D$37&lt;&gt;"",$D$37,IF((IF(D64="",IF($D$35="",0,$D$35),D64))=0,0,D54/(IF(D64="",IF($D$35="",0,$D$35),D64)))))))*(IF(D64="",IF($D$35="",0,$D$35),D64))))</f>
        <v>0</v>
      </c>
      <c r="H97" s="75" t="n">
        <f aca="false">IF(F97="","",F97+G97)</f>
        <v>134404.38</v>
      </c>
      <c r="I97" s="75" t="str">
        <f aca="false">IF(E54="","",IF(10&gt;IF(E57="",10,E57),"",E54*(1+IF(E55="",0,E55))^ROUNDDOWN((10-1)/IF(E56="",5,E56),0)))</f>
        <v/>
      </c>
      <c r="J97" s="75" t="str">
        <f aca="false">IF(I97="","",IF((IF(E64="",IF($D$35="",0,$D$35),E64))=0,0,MAX(0,3468158.63-(IF(E65&lt;&gt;"",E65,IF($D$37&lt;&gt;"",$D$37,IF((IF(E64="",IF($D$35="",0,$D$35),E64))=0,0,E54/(IF(E64="",IF($D$35="",0,$D$35),E64)))))))*(IF(E64="",IF($D$35="",0,$D$35),E64))))</f>
        <v/>
      </c>
      <c r="K97" s="75" t="str">
        <f aca="false">IF(I97="","",I97+J97)</f>
        <v/>
      </c>
      <c r="L97" s="75" t="str">
        <f aca="false">IF(F54="","",IF(10&gt;IF(F57="",10,F57),"",F54*(1+IF(F55="",0,F55))^ROUNDDOWN((10-1)/IF(F56="",5,F56),0)))</f>
        <v/>
      </c>
      <c r="M97" s="75" t="str">
        <f aca="false">IF(L97="","",IF((IF(F64="",IF($D$35="",0,$D$35),F64))=0,0,MAX(0,3468158.63-(IF(F65&lt;&gt;"",F65,IF($D$37&lt;&gt;"",$D$37,IF((IF(F64="",IF($D$35="",0,$D$35),F64))=0,0,F54/(IF(F64="",IF($D$35="",0,$D$35),F64)))))))*(IF(F64="",IF($D$35="",0,$D$35),F64))))</f>
        <v/>
      </c>
      <c r="N97" s="75" t="str">
        <f aca="false">IF(L97="","",L97+M97)</f>
        <v/>
      </c>
      <c r="O97" s="75" t="str">
        <f aca="false">IF(G54="","",IF(10&gt;IF(G57="",10,G57),"",G54*(1+IF(G55="",0,G55))^ROUNDDOWN((10-1)/IF(G56="",5,G56),0)))</f>
        <v/>
      </c>
      <c r="P97" s="75" t="str">
        <f aca="false">IF(O97="","",IF((IF(G64="",IF($D$35="",0,$D$35),G64))=0,0,MAX(0,3468158.63-(IF(G65&lt;&gt;"",G65,IF($D$37&lt;&gt;"",$D$37,IF((IF(G64="",IF($D$35="",0,$D$35),G64))=0,0,G54/(IF(G64="",IF($D$35="",0,$D$35),G64)))))))*(IF(G64="",IF($D$35="",0,$D$35),G64))))</f>
        <v/>
      </c>
      <c r="Q97" s="75" t="str">
        <f aca="false">IF(O97="","",O97+P97)</f>
        <v/>
      </c>
      <c r="R97" s="75" t="str">
        <f aca="false">IF(H54="","",IF(10&gt;IF(H57="",10,H57),"",H54*(1+IF(H55="",0,H55))^ROUNDDOWN((10-1)/IF(H56="",5,H56),0)))</f>
        <v/>
      </c>
      <c r="S97" s="75" t="str">
        <f aca="false">IF(R97="","",IF((IF(H64="",IF($D$35="",0,$D$35),H64))=0,0,MAX(0,3468158.63-(IF(H65&lt;&gt;"",H65,IF($D$37&lt;&gt;"",$D$37,IF((IF(H64="",IF($D$35="",0,$D$35),H64))=0,0,H54/(IF(H64="",IF($D$35="",0,$D$35),H64)))))))*(IF(H64="",IF($D$35="",0,$D$35),H64))))</f>
        <v/>
      </c>
      <c r="T97" s="75" t="str">
        <f aca="false">IF(R97="","",R97+S97)</f>
        <v/>
      </c>
    </row>
    <row r="98" customFormat="false" ht="15" hidden="false" customHeight="false" outlineLevel="0" collapsed="false">
      <c r="A98" s="74" t="n">
        <v>11</v>
      </c>
      <c r="B98" s="75" t="n">
        <v>3537522</v>
      </c>
      <c r="C98" s="76" t="n">
        <v>159440</v>
      </c>
      <c r="D98" s="76" t="n">
        <v>0</v>
      </c>
      <c r="E98" s="76" t="n">
        <v>159440</v>
      </c>
      <c r="F98" s="75" t="n">
        <f aca="false">IF(D54="","",IF(11&gt;IF(D57="",10,D57),"",D54*(1+IF(D55="",0,D55))^ROUNDDOWN((11-1)/IF(D56="",5,D56),0)))</f>
        <v>137092.4676</v>
      </c>
      <c r="G98" s="75" t="n">
        <f aca="false">IF(F98="","",IF((IF(D64="",IF($D$35="",0,$D$35),D64))=0,0,MAX(0,3537521.81-(IF(D65&lt;&gt;"",D65,IF($D$37&lt;&gt;"",$D$37,IF((IF(D64="",IF($D$35="",0,$D$35),D64))=0,0,D54/(IF(D64="",IF($D$35="",0,$D$35),D64)))))))*(IF(D64="",IF($D$35="",0,$D$35),D64))))</f>
        <v>0</v>
      </c>
      <c r="H98" s="75" t="n">
        <f aca="false">IF(F98="","",F98+G98)</f>
        <v>137092.4676</v>
      </c>
      <c r="I98" s="75" t="str">
        <f aca="false">IF(E54="","",IF(11&gt;IF(E57="",10,E57),"",E54*(1+IF(E55="",0,E55))^ROUNDDOWN((11-1)/IF(E56="",5,E56),0)))</f>
        <v/>
      </c>
      <c r="J98" s="75" t="str">
        <f aca="false">IF(I98="","",IF((IF(E64="",IF($D$35="",0,$D$35),E64))=0,0,MAX(0,3537521.81-(IF(E65&lt;&gt;"",E65,IF($D$37&lt;&gt;"",$D$37,IF((IF(E64="",IF($D$35="",0,$D$35),E64))=0,0,E54/(IF(E64="",IF($D$35="",0,$D$35),E64)))))))*(IF(E64="",IF($D$35="",0,$D$35),E64))))</f>
        <v/>
      </c>
      <c r="K98" s="75" t="str">
        <f aca="false">IF(I98="","",I98+J98)</f>
        <v/>
      </c>
      <c r="L98" s="75" t="str">
        <f aca="false">IF(F54="","",IF(11&gt;IF(F57="",10,F57),"",F54*(1+IF(F55="",0,F55))^ROUNDDOWN((11-1)/IF(F56="",5,F56),0)))</f>
        <v/>
      </c>
      <c r="M98" s="75" t="str">
        <f aca="false">IF(L98="","",IF((IF(F64="",IF($D$35="",0,$D$35),F64))=0,0,MAX(0,3537521.81-(IF(F65&lt;&gt;"",F65,IF($D$37&lt;&gt;"",$D$37,IF((IF(F64="",IF($D$35="",0,$D$35),F64))=0,0,F54/(IF(F64="",IF($D$35="",0,$D$35),F64)))))))*(IF(F64="",IF($D$35="",0,$D$35),F64))))</f>
        <v/>
      </c>
      <c r="N98" s="75" t="str">
        <f aca="false">IF(L98="","",L98+M98)</f>
        <v/>
      </c>
      <c r="O98" s="75" t="str">
        <f aca="false">IF(G54="","",IF(11&gt;IF(G57="",10,G57),"",G54*(1+IF(G55="",0,G55))^ROUNDDOWN((11-1)/IF(G56="",5,G56),0)))</f>
        <v/>
      </c>
      <c r="P98" s="75" t="str">
        <f aca="false">IF(O98="","",IF((IF(G64="",IF($D$35="",0,$D$35),G64))=0,0,MAX(0,3537521.81-(IF(G65&lt;&gt;"",G65,IF($D$37&lt;&gt;"",$D$37,IF((IF(G64="",IF($D$35="",0,$D$35),G64))=0,0,G54/(IF(G64="",IF($D$35="",0,$D$35),G64)))))))*(IF(G64="",IF($D$35="",0,$D$35),G64))))</f>
        <v/>
      </c>
      <c r="Q98" s="75" t="str">
        <f aca="false">IF(O98="","",O98+P98)</f>
        <v/>
      </c>
      <c r="R98" s="75" t="str">
        <f aca="false">IF(H54="","",IF(11&gt;IF(H57="",10,H57),"",H54*(1+IF(H55="",0,H55))^ROUNDDOWN((11-1)/IF(H56="",5,H56),0)))</f>
        <v/>
      </c>
      <c r="S98" s="75" t="str">
        <f aca="false">IF(R98="","",IF((IF(H64="",IF($D$35="",0,$D$35),H64))=0,0,MAX(0,3537521.81-(IF(H65&lt;&gt;"",H65,IF($D$37&lt;&gt;"",$D$37,IF((IF(H64="",IF($D$35="",0,$D$35),H64))=0,0,H54/(IF(H64="",IF($D$35="",0,$D$35),H64)))))))*(IF(H64="",IF($D$35="",0,$D$35),H64))))</f>
        <v/>
      </c>
      <c r="T98" s="75" t="str">
        <f aca="false">IF(R98="","",R98+S98)</f>
        <v/>
      </c>
    </row>
    <row r="99" customFormat="false" ht="15" hidden="false" customHeight="false" outlineLevel="0" collapsed="false">
      <c r="A99" s="74" t="n">
        <v>12</v>
      </c>
      <c r="B99" s="75" t="n">
        <v>3608272</v>
      </c>
      <c r="C99" s="76" t="n">
        <v>159440</v>
      </c>
      <c r="D99" s="76" t="n">
        <v>0</v>
      </c>
      <c r="E99" s="76" t="n">
        <v>159440</v>
      </c>
      <c r="F99" s="75" t="n">
        <f aca="false">IF(D54="","",IF(12&gt;IF(D57="",10,D57),"",D54*(1+IF(D55="",0,D55))^ROUNDDOWN((12-1)/IF(D56="",5,D56),0)))</f>
        <v>137092.4676</v>
      </c>
      <c r="G99" s="75" t="n">
        <f aca="false">IF(F99="","",IF((IF(D64="",IF($D$35="",0,$D$35),D64))=0,0,MAX(0,3608272.24-(IF(D65&lt;&gt;"",D65,IF($D$37&lt;&gt;"",$D$37,IF((IF(D64="",IF($D$35="",0,$D$35),D64))=0,0,D54/(IF(D64="",IF($D$35="",0,$D$35),D64)))))))*(IF(D64="",IF($D$35="",0,$D$35),D64))))</f>
        <v>0</v>
      </c>
      <c r="H99" s="75" t="n">
        <f aca="false">IF(F99="","",F99+G99)</f>
        <v>137092.4676</v>
      </c>
      <c r="I99" s="75" t="str">
        <f aca="false">IF(E54="","",IF(12&gt;IF(E57="",10,E57),"",E54*(1+IF(E55="",0,E55))^ROUNDDOWN((12-1)/IF(E56="",5,E56),0)))</f>
        <v/>
      </c>
      <c r="J99" s="75" t="str">
        <f aca="false">IF(I99="","",IF((IF(E64="",IF($D$35="",0,$D$35),E64))=0,0,MAX(0,3608272.24-(IF(E65&lt;&gt;"",E65,IF($D$37&lt;&gt;"",$D$37,IF((IF(E64="",IF($D$35="",0,$D$35),E64))=0,0,E54/(IF(E64="",IF($D$35="",0,$D$35),E64)))))))*(IF(E64="",IF($D$35="",0,$D$35),E64))))</f>
        <v/>
      </c>
      <c r="K99" s="75" t="str">
        <f aca="false">IF(I99="","",I99+J99)</f>
        <v/>
      </c>
      <c r="L99" s="75" t="str">
        <f aca="false">IF(F54="","",IF(12&gt;IF(F57="",10,F57),"",F54*(1+IF(F55="",0,F55))^ROUNDDOWN((12-1)/IF(F56="",5,F56),0)))</f>
        <v/>
      </c>
      <c r="M99" s="75" t="str">
        <f aca="false">IF(L99="","",IF((IF(F64="",IF($D$35="",0,$D$35),F64))=0,0,MAX(0,3608272.24-(IF(F65&lt;&gt;"",F65,IF($D$37&lt;&gt;"",$D$37,IF((IF(F64="",IF($D$35="",0,$D$35),F64))=0,0,F54/(IF(F64="",IF($D$35="",0,$D$35),F64)))))))*(IF(F64="",IF($D$35="",0,$D$35),F64))))</f>
        <v/>
      </c>
      <c r="N99" s="75" t="str">
        <f aca="false">IF(L99="","",L99+M99)</f>
        <v/>
      </c>
      <c r="O99" s="75" t="str">
        <f aca="false">IF(G54="","",IF(12&gt;IF(G57="",10,G57),"",G54*(1+IF(G55="",0,G55))^ROUNDDOWN((12-1)/IF(G56="",5,G56),0)))</f>
        <v/>
      </c>
      <c r="P99" s="75" t="str">
        <f aca="false">IF(O99="","",IF((IF(G64="",IF($D$35="",0,$D$35),G64))=0,0,MAX(0,3608272.24-(IF(G65&lt;&gt;"",G65,IF($D$37&lt;&gt;"",$D$37,IF((IF(G64="",IF($D$35="",0,$D$35),G64))=0,0,G54/(IF(G64="",IF($D$35="",0,$D$35),G64)))))))*(IF(G64="",IF($D$35="",0,$D$35),G64))))</f>
        <v/>
      </c>
      <c r="Q99" s="75" t="str">
        <f aca="false">IF(O99="","",O99+P99)</f>
        <v/>
      </c>
      <c r="R99" s="75" t="str">
        <f aca="false">IF(H54="","",IF(12&gt;IF(H57="",10,H57),"",H54*(1+IF(H55="",0,H55))^ROUNDDOWN((12-1)/IF(H56="",5,H56),0)))</f>
        <v/>
      </c>
      <c r="S99" s="75" t="str">
        <f aca="false">IF(R99="","",IF((IF(H64="",IF($D$35="",0,$D$35),H64))=0,0,MAX(0,3608272.24-(IF(H65&lt;&gt;"",H65,IF($D$37&lt;&gt;"",$D$37,IF((IF(H64="",IF($D$35="",0,$D$35),H64))=0,0,H54/(IF(H64="",IF($D$35="",0,$D$35),H64)))))))*(IF(H64="",IF($D$35="",0,$D$35),H64))))</f>
        <v/>
      </c>
      <c r="T99" s="75" t="str">
        <f aca="false">IF(R99="","",R99+S99)</f>
        <v/>
      </c>
    </row>
    <row r="100" customFormat="false" ht="15" hidden="false" customHeight="false" outlineLevel="0" collapsed="false">
      <c r="A100" s="74" t="n">
        <v>13</v>
      </c>
      <c r="B100" s="75" t="n">
        <v>3680438</v>
      </c>
      <c r="C100" s="76" t="n">
        <v>159440</v>
      </c>
      <c r="D100" s="76" t="n">
        <v>0</v>
      </c>
      <c r="E100" s="76" t="n">
        <v>159440</v>
      </c>
      <c r="F100" s="75" t="n">
        <f aca="false">IF(D54="","",IF(13&gt;IF(D57="",10,D57),"",D54*(1+IF(D55="",0,D55))^ROUNDDOWN((13-1)/IF(D56="",5,D56),0)))</f>
        <v>137092.4676</v>
      </c>
      <c r="G100" s="75" t="n">
        <f aca="false">IF(F100="","",IF((IF(D64="",IF($D$35="",0,$D$35),D64))=0,0,MAX(0,3680437.69-(IF(D65&lt;&gt;"",D65,IF($D$37&lt;&gt;"",$D$37,IF((IF(D64="",IF($D$35="",0,$D$35),D64))=0,0,D54/(IF(D64="",IF($D$35="",0,$D$35),D64)))))))*(IF(D64="",IF($D$35="",0,$D$35),D64))))</f>
        <v>0</v>
      </c>
      <c r="H100" s="75" t="n">
        <f aca="false">IF(F100="","",F100+G100)</f>
        <v>137092.4676</v>
      </c>
      <c r="I100" s="75" t="str">
        <f aca="false">IF(E54="","",IF(13&gt;IF(E57="",10,E57),"",E54*(1+IF(E55="",0,E55))^ROUNDDOWN((13-1)/IF(E56="",5,E56),0)))</f>
        <v/>
      </c>
      <c r="J100" s="75" t="str">
        <f aca="false">IF(I100="","",IF((IF(E64="",IF($D$35="",0,$D$35),E64))=0,0,MAX(0,3680437.69-(IF(E65&lt;&gt;"",E65,IF($D$37&lt;&gt;"",$D$37,IF((IF(E64="",IF($D$35="",0,$D$35),E64))=0,0,E54/(IF(E64="",IF($D$35="",0,$D$35),E64)))))))*(IF(E64="",IF($D$35="",0,$D$35),E64))))</f>
        <v/>
      </c>
      <c r="K100" s="75" t="str">
        <f aca="false">IF(I100="","",I100+J100)</f>
        <v/>
      </c>
      <c r="L100" s="75" t="str">
        <f aca="false">IF(F54="","",IF(13&gt;IF(F57="",10,F57),"",F54*(1+IF(F55="",0,F55))^ROUNDDOWN((13-1)/IF(F56="",5,F56),0)))</f>
        <v/>
      </c>
      <c r="M100" s="75" t="str">
        <f aca="false">IF(L100="","",IF((IF(F64="",IF($D$35="",0,$D$35),F64))=0,0,MAX(0,3680437.69-(IF(F65&lt;&gt;"",F65,IF($D$37&lt;&gt;"",$D$37,IF((IF(F64="",IF($D$35="",0,$D$35),F64))=0,0,F54/(IF(F64="",IF($D$35="",0,$D$35),F64)))))))*(IF(F64="",IF($D$35="",0,$D$35),F64))))</f>
        <v/>
      </c>
      <c r="N100" s="75" t="str">
        <f aca="false">IF(L100="","",L100+M100)</f>
        <v/>
      </c>
      <c r="O100" s="75" t="str">
        <f aca="false">IF(G54="","",IF(13&gt;IF(G57="",10,G57),"",G54*(1+IF(G55="",0,G55))^ROUNDDOWN((13-1)/IF(G56="",5,G56),0)))</f>
        <v/>
      </c>
      <c r="P100" s="75" t="str">
        <f aca="false">IF(O100="","",IF((IF(G64="",IF($D$35="",0,$D$35),G64))=0,0,MAX(0,3680437.69-(IF(G65&lt;&gt;"",G65,IF($D$37&lt;&gt;"",$D$37,IF((IF(G64="",IF($D$35="",0,$D$35),G64))=0,0,G54/(IF(G64="",IF($D$35="",0,$D$35),G64)))))))*(IF(G64="",IF($D$35="",0,$D$35),G64))))</f>
        <v/>
      </c>
      <c r="Q100" s="75" t="str">
        <f aca="false">IF(O100="","",O100+P100)</f>
        <v/>
      </c>
      <c r="R100" s="75" t="str">
        <f aca="false">IF(H54="","",IF(13&gt;IF(H57="",10,H57),"",H54*(1+IF(H55="",0,H55))^ROUNDDOWN((13-1)/IF(H56="",5,H56),0)))</f>
        <v/>
      </c>
      <c r="S100" s="75" t="str">
        <f aca="false">IF(R100="","",IF((IF(H64="",IF($D$35="",0,$D$35),H64))=0,0,MAX(0,3680437.69-(IF(H65&lt;&gt;"",H65,IF($D$37&lt;&gt;"",$D$37,IF((IF(H64="",IF($D$35="",0,$D$35),H64))=0,0,H54/(IF(H64="",IF($D$35="",0,$D$35),H64)))))))*(IF(H64="",IF($D$35="",0,$D$35),H64))))</f>
        <v/>
      </c>
      <c r="T100" s="75" t="str">
        <f aca="false">IF(R100="","",R100+S100)</f>
        <v/>
      </c>
    </row>
    <row r="101" customFormat="false" ht="15" hidden="false" customHeight="false" outlineLevel="0" collapsed="false">
      <c r="A101" s="74" t="n">
        <v>14</v>
      </c>
      <c r="B101" s="75" t="n">
        <v>3754046</v>
      </c>
      <c r="C101" s="76" t="n">
        <v>159440</v>
      </c>
      <c r="D101" s="76" t="n">
        <v>0</v>
      </c>
      <c r="E101" s="76" t="n">
        <v>159440</v>
      </c>
      <c r="F101" s="75" t="n">
        <f aca="false">IF(D54="","",IF(14&gt;IF(D57="",10,D57),"",D54*(1+IF(D55="",0,D55))^ROUNDDOWN((14-1)/IF(D56="",5,D56),0)))</f>
        <v>137092.4676</v>
      </c>
      <c r="G101" s="75" t="n">
        <f aca="false">IF(F101="","",IF((IF(D64="",IF($D$35="",0,$D$35),D64))=0,0,MAX(0,3754046.44-(IF(D65&lt;&gt;"",D65,IF($D$37&lt;&gt;"",$D$37,IF((IF(D64="",IF($D$35="",0,$D$35),D64))=0,0,D54/(IF(D64="",IF($D$35="",0,$D$35),D64)))))))*(IF(D64="",IF($D$35="",0,$D$35),D64))))</f>
        <v>0</v>
      </c>
      <c r="H101" s="75" t="n">
        <f aca="false">IF(F101="","",F101+G101)</f>
        <v>137092.4676</v>
      </c>
      <c r="I101" s="75" t="str">
        <f aca="false">IF(E54="","",IF(14&gt;IF(E57="",10,E57),"",E54*(1+IF(E55="",0,E55))^ROUNDDOWN((14-1)/IF(E56="",5,E56),0)))</f>
        <v/>
      </c>
      <c r="J101" s="75" t="str">
        <f aca="false">IF(I101="","",IF((IF(E64="",IF($D$35="",0,$D$35),E64))=0,0,MAX(0,3754046.44-(IF(E65&lt;&gt;"",E65,IF($D$37&lt;&gt;"",$D$37,IF((IF(E64="",IF($D$35="",0,$D$35),E64))=0,0,E54/(IF(E64="",IF($D$35="",0,$D$35),E64)))))))*(IF(E64="",IF($D$35="",0,$D$35),E64))))</f>
        <v/>
      </c>
      <c r="K101" s="75" t="str">
        <f aca="false">IF(I101="","",I101+J101)</f>
        <v/>
      </c>
      <c r="L101" s="75" t="str">
        <f aca="false">IF(F54="","",IF(14&gt;IF(F57="",10,F57),"",F54*(1+IF(F55="",0,F55))^ROUNDDOWN((14-1)/IF(F56="",5,F56),0)))</f>
        <v/>
      </c>
      <c r="M101" s="75" t="str">
        <f aca="false">IF(L101="","",IF((IF(F64="",IF($D$35="",0,$D$35),F64))=0,0,MAX(0,3754046.44-(IF(F65&lt;&gt;"",F65,IF($D$37&lt;&gt;"",$D$37,IF((IF(F64="",IF($D$35="",0,$D$35),F64))=0,0,F54/(IF(F64="",IF($D$35="",0,$D$35),F64)))))))*(IF(F64="",IF($D$35="",0,$D$35),F64))))</f>
        <v/>
      </c>
      <c r="N101" s="75" t="str">
        <f aca="false">IF(L101="","",L101+M101)</f>
        <v/>
      </c>
      <c r="O101" s="75" t="str">
        <f aca="false">IF(G54="","",IF(14&gt;IF(G57="",10,G57),"",G54*(1+IF(G55="",0,G55))^ROUNDDOWN((14-1)/IF(G56="",5,G56),0)))</f>
        <v/>
      </c>
      <c r="P101" s="75" t="str">
        <f aca="false">IF(O101="","",IF((IF(G64="",IF($D$35="",0,$D$35),G64))=0,0,MAX(0,3754046.44-(IF(G65&lt;&gt;"",G65,IF($D$37&lt;&gt;"",$D$37,IF((IF(G64="",IF($D$35="",0,$D$35),G64))=0,0,G54/(IF(G64="",IF($D$35="",0,$D$35),G64)))))))*(IF(G64="",IF($D$35="",0,$D$35),G64))))</f>
        <v/>
      </c>
      <c r="Q101" s="75" t="str">
        <f aca="false">IF(O101="","",O101+P101)</f>
        <v/>
      </c>
      <c r="R101" s="75" t="str">
        <f aca="false">IF(H54="","",IF(14&gt;IF(H57="",10,H57),"",H54*(1+IF(H55="",0,H55))^ROUNDDOWN((14-1)/IF(H56="",5,H56),0)))</f>
        <v/>
      </c>
      <c r="S101" s="75" t="str">
        <f aca="false">IF(R101="","",IF((IF(H64="",IF($D$35="",0,$D$35),H64))=0,0,MAX(0,3754046.44-(IF(H65&lt;&gt;"",H65,IF($D$37&lt;&gt;"",$D$37,IF((IF(H64="",IF($D$35="",0,$D$35),H64))=0,0,H54/(IF(H64="",IF($D$35="",0,$D$35),H64)))))))*(IF(H64="",IF($D$35="",0,$D$35),H64))))</f>
        <v/>
      </c>
      <c r="T101" s="75" t="str">
        <f aca="false">IF(R101="","",R101+S101)</f>
        <v/>
      </c>
    </row>
    <row r="102" customFormat="false" ht="15" hidden="false" customHeight="false" outlineLevel="0" collapsed="false">
      <c r="A102" s="74" t="n">
        <v>15</v>
      </c>
      <c r="B102" s="75" t="n">
        <v>3829127</v>
      </c>
      <c r="C102" s="76" t="n">
        <v>159440</v>
      </c>
      <c r="D102" s="76" t="n">
        <v>0</v>
      </c>
      <c r="E102" s="76" t="n">
        <v>159440</v>
      </c>
      <c r="F102" s="75" t="n">
        <f aca="false">IF(D54="","",IF(15&gt;IF(D57="",10,D57),"",D54*(1+IF(D55="",0,D55))^ROUNDDOWN((15-1)/IF(D56="",5,D56),0)))</f>
        <v>137092.4676</v>
      </c>
      <c r="G102" s="75" t="n">
        <f aca="false">IF(F102="","",IF((IF(D64="",IF($D$35="",0,$D$35),D64))=0,0,MAX(0,3829127.37-(IF(D65&lt;&gt;"",D65,IF($D$37&lt;&gt;"",$D$37,IF((IF(D64="",IF($D$35="",0,$D$35),D64))=0,0,D54/(IF(D64="",IF($D$35="",0,$D$35),D64)))))))*(IF(D64="",IF($D$35="",0,$D$35),D64))))</f>
        <v>0</v>
      </c>
      <c r="H102" s="75" t="n">
        <f aca="false">IF(F102="","",F102+G102)</f>
        <v>137092.4676</v>
      </c>
      <c r="I102" s="75" t="str">
        <f aca="false">IF(E54="","",IF(15&gt;IF(E57="",10,E57),"",E54*(1+IF(E55="",0,E55))^ROUNDDOWN((15-1)/IF(E56="",5,E56),0)))</f>
        <v/>
      </c>
      <c r="J102" s="75" t="str">
        <f aca="false">IF(I102="","",IF((IF(E64="",IF($D$35="",0,$D$35),E64))=0,0,MAX(0,3829127.37-(IF(E65&lt;&gt;"",E65,IF($D$37&lt;&gt;"",$D$37,IF((IF(E64="",IF($D$35="",0,$D$35),E64))=0,0,E54/(IF(E64="",IF($D$35="",0,$D$35),E64)))))))*(IF(E64="",IF($D$35="",0,$D$35),E64))))</f>
        <v/>
      </c>
      <c r="K102" s="75" t="str">
        <f aca="false">IF(I102="","",I102+J102)</f>
        <v/>
      </c>
      <c r="L102" s="75" t="str">
        <f aca="false">IF(F54="","",IF(15&gt;IF(F57="",10,F57),"",F54*(1+IF(F55="",0,F55))^ROUNDDOWN((15-1)/IF(F56="",5,F56),0)))</f>
        <v/>
      </c>
      <c r="M102" s="75" t="str">
        <f aca="false">IF(L102="","",IF((IF(F64="",IF($D$35="",0,$D$35),F64))=0,0,MAX(0,3829127.37-(IF(F65&lt;&gt;"",F65,IF($D$37&lt;&gt;"",$D$37,IF((IF(F64="",IF($D$35="",0,$D$35),F64))=0,0,F54/(IF(F64="",IF($D$35="",0,$D$35),F64)))))))*(IF(F64="",IF($D$35="",0,$D$35),F64))))</f>
        <v/>
      </c>
      <c r="N102" s="75" t="str">
        <f aca="false">IF(L102="","",L102+M102)</f>
        <v/>
      </c>
      <c r="O102" s="75" t="str">
        <f aca="false">IF(G54="","",IF(15&gt;IF(G57="",10,G57),"",G54*(1+IF(G55="",0,G55))^ROUNDDOWN((15-1)/IF(G56="",5,G56),0)))</f>
        <v/>
      </c>
      <c r="P102" s="75" t="str">
        <f aca="false">IF(O102="","",IF((IF(G64="",IF($D$35="",0,$D$35),G64))=0,0,MAX(0,3829127.37-(IF(G65&lt;&gt;"",G65,IF($D$37&lt;&gt;"",$D$37,IF((IF(G64="",IF($D$35="",0,$D$35),G64))=0,0,G54/(IF(G64="",IF($D$35="",0,$D$35),G64)))))))*(IF(G64="",IF($D$35="",0,$D$35),G64))))</f>
        <v/>
      </c>
      <c r="Q102" s="75" t="str">
        <f aca="false">IF(O102="","",O102+P102)</f>
        <v/>
      </c>
      <c r="R102" s="75" t="str">
        <f aca="false">IF(H54="","",IF(15&gt;IF(H57="",10,H57),"",H54*(1+IF(H55="",0,H55))^ROUNDDOWN((15-1)/IF(H56="",5,H56),0)))</f>
        <v/>
      </c>
      <c r="S102" s="75" t="str">
        <f aca="false">IF(R102="","",IF((IF(H64="",IF($D$35="",0,$D$35),H64))=0,0,MAX(0,3829127.37-(IF(H65&lt;&gt;"",H65,IF($D$37&lt;&gt;"",$D$37,IF((IF(H64="",IF($D$35="",0,$D$35),H64))=0,0,H54/(IF(H64="",IF($D$35="",0,$D$35),H64)))))))*(IF(H64="",IF($D$35="",0,$D$35),H64))))</f>
        <v/>
      </c>
      <c r="T102" s="75" t="str">
        <f aca="false">IF(R102="","",R102+S102)</f>
        <v/>
      </c>
    </row>
    <row r="103" customFormat="false" ht="15" hidden="false" customHeight="false" outlineLevel="0" collapsed="false">
      <c r="A103" s="74" t="n">
        <v>16</v>
      </c>
      <c r="B103" s="75" t="n">
        <v>3905710</v>
      </c>
      <c r="C103" s="76" t="n">
        <v>175384</v>
      </c>
      <c r="D103" s="76" t="n">
        <v>0</v>
      </c>
      <c r="E103" s="76" t="n">
        <v>175384</v>
      </c>
      <c r="F103" s="75" t="n">
        <f aca="false">IF(D54="","",IF(16&gt;IF(D57="",10,D57),"",D54*(1+IF(D55="",0,D55))^ROUNDDOWN((16-1)/IF(D56="",5,D56),0)))</f>
        <v>139834.316952</v>
      </c>
      <c r="G103" s="75" t="n">
        <f aca="false">IF(F103="","",IF((IF(D64="",IF($D$35="",0,$D$35),D64))=0,0,MAX(0,3905709.92-(IF(D65&lt;&gt;"",D65,IF($D$37&lt;&gt;"",$D$37,IF((IF(D64="",IF($D$35="",0,$D$35),D64))=0,0,D54/(IF(D64="",IF($D$35="",0,$D$35),D64)))))))*(IF(D64="",IF($D$35="",0,$D$35),D64))))</f>
        <v>0</v>
      </c>
      <c r="H103" s="75" t="n">
        <f aca="false">IF(F103="","",F103+G103)</f>
        <v>139834.316952</v>
      </c>
      <c r="I103" s="75" t="str">
        <f aca="false">IF(E54="","",IF(16&gt;IF(E57="",10,E57),"",E54*(1+IF(E55="",0,E55))^ROUNDDOWN((16-1)/IF(E56="",5,E56),0)))</f>
        <v/>
      </c>
      <c r="J103" s="75" t="str">
        <f aca="false">IF(I103="","",IF((IF(E64="",IF($D$35="",0,$D$35),E64))=0,0,MAX(0,3905709.92-(IF(E65&lt;&gt;"",E65,IF($D$37&lt;&gt;"",$D$37,IF((IF(E64="",IF($D$35="",0,$D$35),E64))=0,0,E54/(IF(E64="",IF($D$35="",0,$D$35),E64)))))))*(IF(E64="",IF($D$35="",0,$D$35),E64))))</f>
        <v/>
      </c>
      <c r="K103" s="75" t="str">
        <f aca="false">IF(I103="","",I103+J103)</f>
        <v/>
      </c>
      <c r="L103" s="75" t="str">
        <f aca="false">IF(F54="","",IF(16&gt;IF(F57="",10,F57),"",F54*(1+IF(F55="",0,F55))^ROUNDDOWN((16-1)/IF(F56="",5,F56),0)))</f>
        <v/>
      </c>
      <c r="M103" s="75" t="str">
        <f aca="false">IF(L103="","",IF((IF(F64="",IF($D$35="",0,$D$35),F64))=0,0,MAX(0,3905709.92-(IF(F65&lt;&gt;"",F65,IF($D$37&lt;&gt;"",$D$37,IF((IF(F64="",IF($D$35="",0,$D$35),F64))=0,0,F54/(IF(F64="",IF($D$35="",0,$D$35),F64)))))))*(IF(F64="",IF($D$35="",0,$D$35),F64))))</f>
        <v/>
      </c>
      <c r="N103" s="75" t="str">
        <f aca="false">IF(L103="","",L103+M103)</f>
        <v/>
      </c>
      <c r="O103" s="75" t="str">
        <f aca="false">IF(G54="","",IF(16&gt;IF(G57="",10,G57),"",G54*(1+IF(G55="",0,G55))^ROUNDDOWN((16-1)/IF(G56="",5,G56),0)))</f>
        <v/>
      </c>
      <c r="P103" s="75" t="str">
        <f aca="false">IF(O103="","",IF((IF(G64="",IF($D$35="",0,$D$35),G64))=0,0,MAX(0,3905709.92-(IF(G65&lt;&gt;"",G65,IF($D$37&lt;&gt;"",$D$37,IF((IF(G64="",IF($D$35="",0,$D$35),G64))=0,0,G54/(IF(G64="",IF($D$35="",0,$D$35),G64)))))))*(IF(G64="",IF($D$35="",0,$D$35),G64))))</f>
        <v/>
      </c>
      <c r="Q103" s="75" t="str">
        <f aca="false">IF(O103="","",O103+P103)</f>
        <v/>
      </c>
      <c r="R103" s="75" t="str">
        <f aca="false">IF(H54="","",IF(16&gt;IF(H57="",10,H57),"",H54*(1+IF(H55="",0,H55))^ROUNDDOWN((16-1)/IF(H56="",5,H56),0)))</f>
        <v/>
      </c>
      <c r="S103" s="75" t="str">
        <f aca="false">IF(R103="","",IF((IF(H64="",IF($D$35="",0,$D$35),H64))=0,0,MAX(0,3905709.92-(IF(H65&lt;&gt;"",H65,IF($D$37&lt;&gt;"",$D$37,IF((IF(H64="",IF($D$35="",0,$D$35),H64))=0,0,H54/(IF(H64="",IF($D$35="",0,$D$35),H64)))))))*(IF(H64="",IF($D$35="",0,$D$35),H64))))</f>
        <v/>
      </c>
      <c r="T103" s="75" t="str">
        <f aca="false">IF(R103="","",R103+S103)</f>
        <v/>
      </c>
    </row>
    <row r="104" customFormat="false" ht="15" hidden="false" customHeight="false" outlineLevel="0" collapsed="false">
      <c r="A104" s="74" t="n">
        <v>17</v>
      </c>
      <c r="B104" s="75" t="n">
        <v>3983824</v>
      </c>
      <c r="C104" s="76" t="n">
        <v>175384</v>
      </c>
      <c r="D104" s="76" t="n">
        <v>0</v>
      </c>
      <c r="E104" s="76" t="n">
        <v>175384</v>
      </c>
      <c r="F104" s="75" t="n">
        <f aca="false">IF(D54="","",IF(17&gt;IF(D57="",10,D57),"",D54*(1+IF(D55="",0,D55))^ROUNDDOWN((17-1)/IF(D56="",5,D56),0)))</f>
        <v>139834.316952</v>
      </c>
      <c r="G104" s="75" t="n">
        <f aca="false">IF(F104="","",IF((IF(D64="",IF($D$35="",0,$D$35),D64))=0,0,MAX(0,3983824.12-(IF(D65&lt;&gt;"",D65,IF($D$37&lt;&gt;"",$D$37,IF((IF(D64="",IF($D$35="",0,$D$35),D64))=0,0,D54/(IF(D64="",IF($D$35="",0,$D$35),D64)))))))*(IF(D64="",IF($D$35="",0,$D$35),D64))))</f>
        <v>0</v>
      </c>
      <c r="H104" s="75" t="n">
        <f aca="false">IF(F104="","",F104+G104)</f>
        <v>139834.316952</v>
      </c>
      <c r="I104" s="75" t="str">
        <f aca="false">IF(E54="","",IF(17&gt;IF(E57="",10,E57),"",E54*(1+IF(E55="",0,E55))^ROUNDDOWN((17-1)/IF(E56="",5,E56),0)))</f>
        <v/>
      </c>
      <c r="J104" s="75" t="str">
        <f aca="false">IF(I104="","",IF((IF(E64="",IF($D$35="",0,$D$35),E64))=0,0,MAX(0,3983824.12-(IF(E65&lt;&gt;"",E65,IF($D$37&lt;&gt;"",$D$37,IF((IF(E64="",IF($D$35="",0,$D$35),E64))=0,0,E54/(IF(E64="",IF($D$35="",0,$D$35),E64)))))))*(IF(E64="",IF($D$35="",0,$D$35),E64))))</f>
        <v/>
      </c>
      <c r="K104" s="75" t="str">
        <f aca="false">IF(I104="","",I104+J104)</f>
        <v/>
      </c>
      <c r="L104" s="75" t="str">
        <f aca="false">IF(F54="","",IF(17&gt;IF(F57="",10,F57),"",F54*(1+IF(F55="",0,F55))^ROUNDDOWN((17-1)/IF(F56="",5,F56),0)))</f>
        <v/>
      </c>
      <c r="M104" s="75" t="str">
        <f aca="false">IF(L104="","",IF((IF(F64="",IF($D$35="",0,$D$35),F64))=0,0,MAX(0,3983824.12-(IF(F65&lt;&gt;"",F65,IF($D$37&lt;&gt;"",$D$37,IF((IF(F64="",IF($D$35="",0,$D$35),F64))=0,0,F54/(IF(F64="",IF($D$35="",0,$D$35),F64)))))))*(IF(F64="",IF($D$35="",0,$D$35),F64))))</f>
        <v/>
      </c>
      <c r="N104" s="75" t="str">
        <f aca="false">IF(L104="","",L104+M104)</f>
        <v/>
      </c>
      <c r="O104" s="75" t="str">
        <f aca="false">IF(G54="","",IF(17&gt;IF(G57="",10,G57),"",G54*(1+IF(G55="",0,G55))^ROUNDDOWN((17-1)/IF(G56="",5,G56),0)))</f>
        <v/>
      </c>
      <c r="P104" s="75" t="str">
        <f aca="false">IF(O104="","",IF((IF(G64="",IF($D$35="",0,$D$35),G64))=0,0,MAX(0,3983824.12-(IF(G65&lt;&gt;"",G65,IF($D$37&lt;&gt;"",$D$37,IF((IF(G64="",IF($D$35="",0,$D$35),G64))=0,0,G54/(IF(G64="",IF($D$35="",0,$D$35),G64)))))))*(IF(G64="",IF($D$35="",0,$D$35),G64))))</f>
        <v/>
      </c>
      <c r="Q104" s="75" t="str">
        <f aca="false">IF(O104="","",O104+P104)</f>
        <v/>
      </c>
      <c r="R104" s="75" t="str">
        <f aca="false">IF(H54="","",IF(17&gt;IF(H57="",10,H57),"",H54*(1+IF(H55="",0,H55))^ROUNDDOWN((17-1)/IF(H56="",5,H56),0)))</f>
        <v/>
      </c>
      <c r="S104" s="75" t="str">
        <f aca="false">IF(R104="","",IF((IF(H64="",IF($D$35="",0,$D$35),H64))=0,0,MAX(0,3983824.12-(IF(H65&lt;&gt;"",H65,IF($D$37&lt;&gt;"",$D$37,IF((IF(H64="",IF($D$35="",0,$D$35),H64))=0,0,H54/(IF(H64="",IF($D$35="",0,$D$35),H64)))))))*(IF(H64="",IF($D$35="",0,$D$35),H64))))</f>
        <v/>
      </c>
      <c r="T104" s="75" t="str">
        <f aca="false">IF(R104="","",R104+S104)</f>
        <v/>
      </c>
    </row>
    <row r="105" customFormat="false" ht="15" hidden="false" customHeight="false" outlineLevel="0" collapsed="false">
      <c r="A105" s="74" t="n">
        <v>18</v>
      </c>
      <c r="B105" s="75" t="n">
        <v>4063501</v>
      </c>
      <c r="C105" s="76" t="n">
        <v>175384</v>
      </c>
      <c r="D105" s="76" t="n">
        <v>0</v>
      </c>
      <c r="E105" s="76" t="n">
        <v>175384</v>
      </c>
      <c r="F105" s="75" t="n">
        <f aca="false">IF(D54="","",IF(18&gt;IF(D57="",10,D57),"",D54*(1+IF(D55="",0,D55))^ROUNDDOWN((18-1)/IF(D56="",5,D56),0)))</f>
        <v>139834.316952</v>
      </c>
      <c r="G105" s="75" t="n">
        <f aca="false">IF(F105="","",IF((IF(D64="",IF($D$35="",0,$D$35),D64))=0,0,MAX(0,4063500.6-(IF(D65&lt;&gt;"",D65,IF($D$37&lt;&gt;"",$D$37,IF((IF(D64="",IF($D$35="",0,$D$35),D64))=0,0,D54/(IF(D64="",IF($D$35="",0,$D$35),D64)))))))*(IF(D64="",IF($D$35="",0,$D$35),D64))))</f>
        <v>0</v>
      </c>
      <c r="H105" s="75" t="n">
        <f aca="false">IF(F105="","",F105+G105)</f>
        <v>139834.316952</v>
      </c>
      <c r="I105" s="75" t="str">
        <f aca="false">IF(E54="","",IF(18&gt;IF(E57="",10,E57),"",E54*(1+IF(E55="",0,E55))^ROUNDDOWN((18-1)/IF(E56="",5,E56),0)))</f>
        <v/>
      </c>
      <c r="J105" s="75" t="str">
        <f aca="false">IF(I105="","",IF((IF(E64="",IF($D$35="",0,$D$35),E64))=0,0,MAX(0,4063500.6-(IF(E65&lt;&gt;"",E65,IF($D$37&lt;&gt;"",$D$37,IF((IF(E64="",IF($D$35="",0,$D$35),E64))=0,0,E54/(IF(E64="",IF($D$35="",0,$D$35),E64)))))))*(IF(E64="",IF($D$35="",0,$D$35),E64))))</f>
        <v/>
      </c>
      <c r="K105" s="75" t="str">
        <f aca="false">IF(I105="","",I105+J105)</f>
        <v/>
      </c>
      <c r="L105" s="75" t="str">
        <f aca="false">IF(F54="","",IF(18&gt;IF(F57="",10,F57),"",F54*(1+IF(F55="",0,F55))^ROUNDDOWN((18-1)/IF(F56="",5,F56),0)))</f>
        <v/>
      </c>
      <c r="M105" s="75" t="str">
        <f aca="false">IF(L105="","",IF((IF(F64="",IF($D$35="",0,$D$35),F64))=0,0,MAX(0,4063500.6-(IF(F65&lt;&gt;"",F65,IF($D$37&lt;&gt;"",$D$37,IF((IF(F64="",IF($D$35="",0,$D$35),F64))=0,0,F54/(IF(F64="",IF($D$35="",0,$D$35),F64)))))))*(IF(F64="",IF($D$35="",0,$D$35),F64))))</f>
        <v/>
      </c>
      <c r="N105" s="75" t="str">
        <f aca="false">IF(L105="","",L105+M105)</f>
        <v/>
      </c>
      <c r="O105" s="75" t="str">
        <f aca="false">IF(G54="","",IF(18&gt;IF(G57="",10,G57),"",G54*(1+IF(G55="",0,G55))^ROUNDDOWN((18-1)/IF(G56="",5,G56),0)))</f>
        <v/>
      </c>
      <c r="P105" s="75" t="str">
        <f aca="false">IF(O105="","",IF((IF(G64="",IF($D$35="",0,$D$35),G64))=0,0,MAX(0,4063500.6-(IF(G65&lt;&gt;"",G65,IF($D$37&lt;&gt;"",$D$37,IF((IF(G64="",IF($D$35="",0,$D$35),G64))=0,0,G54/(IF(G64="",IF($D$35="",0,$D$35),G64)))))))*(IF(G64="",IF($D$35="",0,$D$35),G64))))</f>
        <v/>
      </c>
      <c r="Q105" s="75" t="str">
        <f aca="false">IF(O105="","",O105+P105)</f>
        <v/>
      </c>
      <c r="R105" s="75" t="str">
        <f aca="false">IF(H54="","",IF(18&gt;IF(H57="",10,H57),"",H54*(1+IF(H55="",0,H55))^ROUNDDOWN((18-1)/IF(H56="",5,H56),0)))</f>
        <v/>
      </c>
      <c r="S105" s="75" t="str">
        <f aca="false">IF(R105="","",IF((IF(H64="",IF($D$35="",0,$D$35),H64))=0,0,MAX(0,4063500.6-(IF(H65&lt;&gt;"",H65,IF($D$37&lt;&gt;"",$D$37,IF((IF(H64="",IF($D$35="",0,$D$35),H64))=0,0,H54/(IF(H64="",IF($D$35="",0,$D$35),H64)))))))*(IF(H64="",IF($D$35="",0,$D$35),H64))))</f>
        <v/>
      </c>
      <c r="T105" s="75" t="str">
        <f aca="false">IF(R105="","",R105+S105)</f>
        <v/>
      </c>
    </row>
    <row r="106" customFormat="false" ht="15" hidden="false" customHeight="false" outlineLevel="0" collapsed="false">
      <c r="A106" s="74" t="n">
        <v>19</v>
      </c>
      <c r="B106" s="75" t="n">
        <v>4144771</v>
      </c>
      <c r="C106" s="76" t="n">
        <v>175384</v>
      </c>
      <c r="D106" s="76" t="n">
        <v>0</v>
      </c>
      <c r="E106" s="76" t="n">
        <v>175384</v>
      </c>
      <c r="F106" s="75" t="n">
        <f aca="false">IF(D54="","",IF(19&gt;IF(D57="",10,D57),"",D54*(1+IF(D55="",0,D55))^ROUNDDOWN((19-1)/IF(D56="",5,D56),0)))</f>
        <v>139834.316952</v>
      </c>
      <c r="G106" s="75" t="n">
        <f aca="false">IF(F106="","",IF((IF(D64="",IF($D$35="",0,$D$35),D64))=0,0,MAX(0,4144770.61-(IF(D65&lt;&gt;"",D65,IF($D$37&lt;&gt;"",$D$37,IF((IF(D64="",IF($D$35="",0,$D$35),D64))=0,0,D54/(IF(D64="",IF($D$35="",0,$D$35),D64)))))))*(IF(D64="",IF($D$35="",0,$D$35),D64))))</f>
        <v>0</v>
      </c>
      <c r="H106" s="75" t="n">
        <f aca="false">IF(F106="","",F106+G106)</f>
        <v>139834.316952</v>
      </c>
      <c r="I106" s="75" t="str">
        <f aca="false">IF(E54="","",IF(19&gt;IF(E57="",10,E57),"",E54*(1+IF(E55="",0,E55))^ROUNDDOWN((19-1)/IF(E56="",5,E56),0)))</f>
        <v/>
      </c>
      <c r="J106" s="75" t="str">
        <f aca="false">IF(I106="","",IF((IF(E64="",IF($D$35="",0,$D$35),E64))=0,0,MAX(0,4144770.61-(IF(E65&lt;&gt;"",E65,IF($D$37&lt;&gt;"",$D$37,IF((IF(E64="",IF($D$35="",0,$D$35),E64))=0,0,E54/(IF(E64="",IF($D$35="",0,$D$35),E64)))))))*(IF(E64="",IF($D$35="",0,$D$35),E64))))</f>
        <v/>
      </c>
      <c r="K106" s="75" t="str">
        <f aca="false">IF(I106="","",I106+J106)</f>
        <v/>
      </c>
      <c r="L106" s="75" t="str">
        <f aca="false">IF(F54="","",IF(19&gt;IF(F57="",10,F57),"",F54*(1+IF(F55="",0,F55))^ROUNDDOWN((19-1)/IF(F56="",5,F56),0)))</f>
        <v/>
      </c>
      <c r="M106" s="75" t="str">
        <f aca="false">IF(L106="","",IF((IF(F64="",IF($D$35="",0,$D$35),F64))=0,0,MAX(0,4144770.61-(IF(F65&lt;&gt;"",F65,IF($D$37&lt;&gt;"",$D$37,IF((IF(F64="",IF($D$35="",0,$D$35),F64))=0,0,F54/(IF(F64="",IF($D$35="",0,$D$35),F64)))))))*(IF(F64="",IF($D$35="",0,$D$35),F64))))</f>
        <v/>
      </c>
      <c r="N106" s="75" t="str">
        <f aca="false">IF(L106="","",L106+M106)</f>
        <v/>
      </c>
      <c r="O106" s="75" t="str">
        <f aca="false">IF(G54="","",IF(19&gt;IF(G57="",10,G57),"",G54*(1+IF(G55="",0,G55))^ROUNDDOWN((19-1)/IF(G56="",5,G56),0)))</f>
        <v/>
      </c>
      <c r="P106" s="75" t="str">
        <f aca="false">IF(O106="","",IF((IF(G64="",IF($D$35="",0,$D$35),G64))=0,0,MAX(0,4144770.61-(IF(G65&lt;&gt;"",G65,IF($D$37&lt;&gt;"",$D$37,IF((IF(G64="",IF($D$35="",0,$D$35),G64))=0,0,G54/(IF(G64="",IF($D$35="",0,$D$35),G64)))))))*(IF(G64="",IF($D$35="",0,$D$35),G64))))</f>
        <v/>
      </c>
      <c r="Q106" s="75" t="str">
        <f aca="false">IF(O106="","",O106+P106)</f>
        <v/>
      </c>
      <c r="R106" s="75" t="str">
        <f aca="false">IF(H54="","",IF(19&gt;IF(H57="",10,H57),"",H54*(1+IF(H55="",0,H55))^ROUNDDOWN((19-1)/IF(H56="",5,H56),0)))</f>
        <v/>
      </c>
      <c r="S106" s="75" t="str">
        <f aca="false">IF(R106="","",IF((IF(H64="",IF($D$35="",0,$D$35),H64))=0,0,MAX(0,4144770.61-(IF(H65&lt;&gt;"",H65,IF($D$37&lt;&gt;"",$D$37,IF((IF(H64="",IF($D$35="",0,$D$35),H64))=0,0,H54/(IF(H64="",IF($D$35="",0,$D$35),H64)))))))*(IF(H64="",IF($D$35="",0,$D$35),H64))))</f>
        <v/>
      </c>
      <c r="T106" s="75" t="str">
        <f aca="false">IF(R106="","",R106+S106)</f>
        <v/>
      </c>
    </row>
    <row r="107" customFormat="false" ht="15" hidden="false" customHeight="false" outlineLevel="0" collapsed="false">
      <c r="A107" s="74" t="n">
        <v>20</v>
      </c>
      <c r="B107" s="75" t="n">
        <v>4227666</v>
      </c>
      <c r="C107" s="76" t="n">
        <v>175384</v>
      </c>
      <c r="D107" s="76" t="n">
        <v>0</v>
      </c>
      <c r="E107" s="76" t="n">
        <v>175384</v>
      </c>
      <c r="F107" s="75" t="n">
        <f aca="false">IF(D54="","",IF(20&gt;IF(D57="",10,D57),"",D54*(1+IF(D55="",0,D55))^ROUNDDOWN((20-1)/IF(D56="",5,D56),0)))</f>
        <v>139834.316952</v>
      </c>
      <c r="G107" s="75" t="n">
        <f aca="false">IF(F107="","",IF((IF(D64="",IF($D$35="",0,$D$35),D64))=0,0,MAX(0,4227666.02-(IF(D65&lt;&gt;"",D65,IF($D$37&lt;&gt;"",$D$37,IF((IF(D64="",IF($D$35="",0,$D$35),D64))=0,0,D54/(IF(D64="",IF($D$35="",0,$D$35),D64)))))))*(IF(D64="",IF($D$35="",0,$D$35),D64))))</f>
        <v>0</v>
      </c>
      <c r="H107" s="75" t="n">
        <f aca="false">IF(F107="","",F107+G107)</f>
        <v>139834.316952</v>
      </c>
      <c r="I107" s="75" t="str">
        <f aca="false">IF(E54="","",IF(20&gt;IF(E57="",10,E57),"",E54*(1+IF(E55="",0,E55))^ROUNDDOWN((20-1)/IF(E56="",5,E56),0)))</f>
        <v/>
      </c>
      <c r="J107" s="75" t="str">
        <f aca="false">IF(I107="","",IF((IF(E64="",IF($D$35="",0,$D$35),E64))=0,0,MAX(0,4227666.02-(IF(E65&lt;&gt;"",E65,IF($D$37&lt;&gt;"",$D$37,IF((IF(E64="",IF($D$35="",0,$D$35),E64))=0,0,E54/(IF(E64="",IF($D$35="",0,$D$35),E64)))))))*(IF(E64="",IF($D$35="",0,$D$35),E64))))</f>
        <v/>
      </c>
      <c r="K107" s="75" t="str">
        <f aca="false">IF(I107="","",I107+J107)</f>
        <v/>
      </c>
      <c r="L107" s="75" t="str">
        <f aca="false">IF(F54="","",IF(20&gt;IF(F57="",10,F57),"",F54*(1+IF(F55="",0,F55))^ROUNDDOWN((20-1)/IF(F56="",5,F56),0)))</f>
        <v/>
      </c>
      <c r="M107" s="75" t="str">
        <f aca="false">IF(L107="","",IF((IF(F64="",IF($D$35="",0,$D$35),F64))=0,0,MAX(0,4227666.02-(IF(F65&lt;&gt;"",F65,IF($D$37&lt;&gt;"",$D$37,IF((IF(F64="",IF($D$35="",0,$D$35),F64))=0,0,F54/(IF(F64="",IF($D$35="",0,$D$35),F64)))))))*(IF(F64="",IF($D$35="",0,$D$35),F64))))</f>
        <v/>
      </c>
      <c r="N107" s="75" t="str">
        <f aca="false">IF(L107="","",L107+M107)</f>
        <v/>
      </c>
      <c r="O107" s="75" t="str">
        <f aca="false">IF(G54="","",IF(20&gt;IF(G57="",10,G57),"",G54*(1+IF(G55="",0,G55))^ROUNDDOWN((20-1)/IF(G56="",5,G56),0)))</f>
        <v/>
      </c>
      <c r="P107" s="75" t="str">
        <f aca="false">IF(O107="","",IF((IF(G64="",IF($D$35="",0,$D$35),G64))=0,0,MAX(0,4227666.02-(IF(G65&lt;&gt;"",G65,IF($D$37&lt;&gt;"",$D$37,IF((IF(G64="",IF($D$35="",0,$D$35),G64))=0,0,G54/(IF(G64="",IF($D$35="",0,$D$35),G64)))))))*(IF(G64="",IF($D$35="",0,$D$35),G64))))</f>
        <v/>
      </c>
      <c r="Q107" s="75" t="str">
        <f aca="false">IF(O107="","",O107+P107)</f>
        <v/>
      </c>
      <c r="R107" s="75" t="str">
        <f aca="false">IF(H54="","",IF(20&gt;IF(H57="",10,H57),"",H54*(1+IF(H55="",0,H55))^ROUNDDOWN((20-1)/IF(H56="",5,H56),0)))</f>
        <v/>
      </c>
      <c r="S107" s="75" t="str">
        <f aca="false">IF(R107="","",IF((IF(H64="",IF($D$35="",0,$D$35),H64))=0,0,MAX(0,4227666.02-(IF(H65&lt;&gt;"",H65,IF($D$37&lt;&gt;"",$D$37,IF((IF(H64="",IF($D$35="",0,$D$35),H64))=0,0,H54/(IF(H64="",IF($D$35="",0,$D$35),H64)))))))*(IF(H64="",IF($D$35="",0,$D$35),H64))))</f>
        <v/>
      </c>
      <c r="T107" s="75" t="str">
        <f aca="false">IF(R107="","",R107+S107)</f>
        <v/>
      </c>
    </row>
    <row r="108" customFormat="false" ht="15" hidden="false" customHeight="false" outlineLevel="0" collapsed="false">
      <c r="A108" s="77" t="s">
        <v>394</v>
      </c>
      <c r="C108" s="78" t="n">
        <f aca="false">IF(COUNT(C88:C107)=0,"",SUM(C88:C107))</f>
        <v>3057695</v>
      </c>
      <c r="D108" s="78" t="n">
        <f aca="false">IF(COUNT(D88:D107)=0,"",SUM(D88:D107))</f>
        <v>0</v>
      </c>
      <c r="E108" s="78" t="n">
        <f aca="false">IF(COUNT(E88:E107)=0,"",SUM(E88:E107))</f>
        <v>3057695</v>
      </c>
      <c r="F108" s="78" t="n">
        <f aca="false">IF(COUNT(F88:F107)=0,"",SUM(F88:F107))</f>
        <v>2715500.82276</v>
      </c>
      <c r="G108" s="78" t="n">
        <f aca="false">IF(COUNT(G88:G107)=0,"",SUM(G88:G107))</f>
        <v>0</v>
      </c>
      <c r="H108" s="78" t="n">
        <f aca="false">IF(COUNT(H88:H107)=0,"",SUM(H88:H107))</f>
        <v>2715500.82276</v>
      </c>
      <c r="I108" s="78" t="str">
        <f aca="false">IF(COUNT(I88:I107)=0,"",SUM(I88:I107))</f>
        <v/>
      </c>
      <c r="J108" s="78" t="str">
        <f aca="false">IF(COUNT(J88:J107)=0,"",SUM(J88:J107))</f>
        <v/>
      </c>
      <c r="K108" s="78" t="str">
        <f aca="false">IF(COUNT(K88:K107)=0,"",SUM(K88:K107))</f>
        <v/>
      </c>
      <c r="L108" s="78" t="str">
        <f aca="false">IF(COUNT(L88:L107)=0,"",SUM(L88:L107))</f>
        <v/>
      </c>
      <c r="M108" s="78" t="str">
        <f aca="false">IF(COUNT(M88:M107)=0,"",SUM(M88:M107))</f>
        <v/>
      </c>
      <c r="N108" s="78" t="str">
        <f aca="false">IF(COUNT(N88:N107)=0,"",SUM(N88:N107))</f>
        <v/>
      </c>
      <c r="O108" s="78" t="str">
        <f aca="false">IF(COUNT(O88:O107)=0,"",SUM(O88:O107))</f>
        <v/>
      </c>
      <c r="P108" s="78" t="str">
        <f aca="false">IF(COUNT(P88:P107)=0,"",SUM(P88:P107))</f>
        <v/>
      </c>
      <c r="Q108" s="78" t="str">
        <f aca="false">IF(COUNT(Q88:Q107)=0,"",SUM(Q88:Q107))</f>
        <v/>
      </c>
      <c r="R108" s="78" t="str">
        <f aca="false">IF(COUNT(R88:R107)=0,"",SUM(R88:R107))</f>
        <v/>
      </c>
      <c r="S108" s="78" t="str">
        <f aca="false">IF(COUNT(S88:S107)=0,"",SUM(S88:S107))</f>
        <v/>
      </c>
      <c r="T108" s="78" t="str">
        <f aca="false">IF(COUNT(T88:T107)=0,"",SUM(T88:T107))</f>
        <v/>
      </c>
    </row>
    <row r="109" customFormat="false" ht="15" hidden="false" customHeight="false" outlineLevel="0" collapsed="false">
      <c r="A109" s="69" t="s">
        <v>395</v>
      </c>
      <c r="B109" s="69"/>
      <c r="C109" s="69"/>
      <c r="D109" s="69"/>
      <c r="E109" s="69"/>
      <c r="F109" s="69"/>
      <c r="G109" s="69"/>
      <c r="H109" s="69"/>
      <c r="I109" s="69"/>
      <c r="J109" s="69"/>
      <c r="K109" s="69"/>
      <c r="L109" s="69"/>
      <c r="M109" s="69"/>
      <c r="N109" s="69"/>
      <c r="O109" s="69"/>
      <c r="P109" s="69"/>
      <c r="Q109" s="69"/>
      <c r="R109" s="69"/>
      <c r="S109" s="69"/>
      <c r="T109" s="69"/>
    </row>
  </sheetData>
  <mergeCells count="83">
    <mergeCell ref="A2:J2"/>
    <mergeCell ref="A3:J3"/>
    <mergeCell ref="A4:J4"/>
    <mergeCell ref="A5:J5"/>
    <mergeCell ref="A6:J6"/>
    <mergeCell ref="A7:J7"/>
    <mergeCell ref="A8:J8"/>
    <mergeCell ref="A10:C10"/>
    <mergeCell ref="D10:J10"/>
    <mergeCell ref="A11:C11"/>
    <mergeCell ref="D11:J11"/>
    <mergeCell ref="A12:C12"/>
    <mergeCell ref="D12:J12"/>
    <mergeCell ref="A13:C13"/>
    <mergeCell ref="D13:J13"/>
    <mergeCell ref="A14:C14"/>
    <mergeCell ref="D14:J14"/>
    <mergeCell ref="G17:J17"/>
    <mergeCell ref="G18:J18"/>
    <mergeCell ref="G19:J19"/>
    <mergeCell ref="G20:J20"/>
    <mergeCell ref="A21:D21"/>
    <mergeCell ref="A22:J22"/>
    <mergeCell ref="A25:C25"/>
    <mergeCell ref="A26:C26"/>
    <mergeCell ref="E26:J26"/>
    <mergeCell ref="A27:C27"/>
    <mergeCell ref="E27:J27"/>
    <mergeCell ref="A28:C28"/>
    <mergeCell ref="A29:C29"/>
    <mergeCell ref="A30:C30"/>
    <mergeCell ref="E30:J30"/>
    <mergeCell ref="A31:J31"/>
    <mergeCell ref="A32:J32"/>
    <mergeCell ref="A35:C35"/>
    <mergeCell ref="E35:J35"/>
    <mergeCell ref="A36:C36"/>
    <mergeCell ref="E36:J36"/>
    <mergeCell ref="A37:C37"/>
    <mergeCell ref="E37:J37"/>
    <mergeCell ref="A38:C38"/>
    <mergeCell ref="E38:J38"/>
    <mergeCell ref="A39:C39"/>
    <mergeCell ref="A40:C40"/>
    <mergeCell ref="A41:C41"/>
    <mergeCell ref="A42:C42"/>
    <mergeCell ref="A49:G49"/>
    <mergeCell ref="A52:C52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2:C62"/>
    <mergeCell ref="A63:C63"/>
    <mergeCell ref="A64:C64"/>
    <mergeCell ref="A65:C65"/>
    <mergeCell ref="A66:C66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79:J79"/>
    <mergeCell ref="A81:J81"/>
    <mergeCell ref="A85:T85"/>
    <mergeCell ref="C86:E86"/>
    <mergeCell ref="F86:H86"/>
    <mergeCell ref="I86:K86"/>
    <mergeCell ref="L86:N86"/>
    <mergeCell ref="O86:Q86"/>
    <mergeCell ref="R86:T86"/>
    <mergeCell ref="A109:T109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6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6"/>
    <col collapsed="false" customWidth="true" hidden="false" outlineLevel="0" max="2" min="2" style="0" width="22"/>
    <col collapsed="false" customWidth="true" hidden="false" outlineLevel="0" max="3" min="3" style="0" width="11"/>
    <col collapsed="false" customWidth="true" hidden="false" outlineLevel="0" max="4" min="4" style="0" width="14"/>
    <col collapsed="false" customWidth="true" hidden="false" outlineLevel="0" max="6" min="5" style="0" width="12"/>
    <col collapsed="false" customWidth="true" hidden="false" outlineLevel="0" max="7" min="7" style="0" width="14"/>
    <col collapsed="false" customWidth="true" hidden="false" outlineLevel="0" max="9" min="8" style="0" width="13"/>
    <col collapsed="false" customWidth="true" hidden="false" outlineLevel="0" max="10" min="10" style="0" width="26"/>
  </cols>
  <sheetData>
    <row r="1" customFormat="false" ht="16.15" hidden="false" customHeight="false" outlineLevel="0" collapsed="false">
      <c r="A1" s="3" t="s">
        <v>859</v>
      </c>
    </row>
    <row r="2" customFormat="false" ht="25.5" hidden="false" customHeight="true" outlineLevel="0" collapsed="false">
      <c r="A2" s="12" t="s">
        <v>251</v>
      </c>
      <c r="B2" s="12"/>
      <c r="C2" s="12"/>
      <c r="D2" s="12"/>
      <c r="E2" s="12"/>
      <c r="F2" s="12"/>
      <c r="G2" s="12"/>
      <c r="H2" s="12"/>
      <c r="I2" s="12"/>
      <c r="J2" s="12"/>
    </row>
    <row r="3" customFormat="false" ht="15" hidden="false" customHeight="true" outlineLevel="0" collapsed="false">
      <c r="A3" s="16" t="s">
        <v>860</v>
      </c>
      <c r="B3" s="16"/>
      <c r="C3" s="16"/>
      <c r="D3" s="16"/>
      <c r="E3" s="16"/>
      <c r="F3" s="16"/>
      <c r="G3" s="16"/>
      <c r="H3" s="16"/>
      <c r="I3" s="16"/>
      <c r="J3" s="16"/>
    </row>
    <row r="4" customFormat="false" ht="30" hidden="false" customHeight="true" outlineLevel="0" collapsed="false">
      <c r="A4" s="17" t="s">
        <v>93</v>
      </c>
      <c r="B4" s="17"/>
      <c r="C4" s="17"/>
      <c r="D4" s="17"/>
      <c r="E4" s="17"/>
      <c r="F4" s="17"/>
      <c r="G4" s="17"/>
      <c r="H4" s="17"/>
      <c r="I4" s="17"/>
      <c r="J4" s="17"/>
    </row>
    <row r="5" customFormat="false" ht="15" hidden="false" customHeight="true" outlineLevel="0" collapsed="false">
      <c r="A5" s="18" t="s">
        <v>17</v>
      </c>
      <c r="B5" s="18"/>
      <c r="C5" s="18"/>
      <c r="D5" s="18"/>
      <c r="E5" s="18"/>
      <c r="F5" s="18"/>
      <c r="G5" s="18"/>
      <c r="H5" s="18"/>
      <c r="I5" s="18"/>
      <c r="J5" s="18"/>
    </row>
    <row r="6" customFormat="false" ht="23.85" hidden="false" customHeight="true" outlineLevel="0" collapsed="false">
      <c r="A6" s="20" t="s">
        <v>861</v>
      </c>
      <c r="B6" s="20"/>
      <c r="C6" s="20"/>
      <c r="D6" s="20"/>
      <c r="E6" s="20"/>
      <c r="F6" s="20"/>
      <c r="G6" s="20"/>
      <c r="H6" s="20"/>
      <c r="I6" s="20"/>
      <c r="J6" s="20"/>
    </row>
    <row r="7" customFormat="false" ht="15" hidden="false" customHeight="true" outlineLevel="0" collapsed="false">
      <c r="A7" s="21" t="s">
        <v>254</v>
      </c>
      <c r="B7" s="21"/>
      <c r="C7" s="21"/>
      <c r="D7" s="21"/>
      <c r="E7" s="21"/>
      <c r="F7" s="21"/>
      <c r="G7" s="21"/>
      <c r="H7" s="21"/>
      <c r="I7" s="21"/>
      <c r="J7" s="21"/>
    </row>
    <row r="9" customFormat="false" ht="15" hidden="false" customHeight="true" outlineLevel="0" collapsed="false">
      <c r="A9" s="22" t="s">
        <v>255</v>
      </c>
      <c r="B9" s="22"/>
      <c r="C9" s="22"/>
      <c r="D9" s="23" t="s">
        <v>862</v>
      </c>
      <c r="E9" s="23"/>
      <c r="F9" s="23"/>
      <c r="G9" s="23"/>
      <c r="H9" s="23"/>
      <c r="I9" s="23"/>
      <c r="J9" s="23"/>
    </row>
    <row r="10" customFormat="false" ht="15" hidden="false" customHeight="true" outlineLevel="0" collapsed="false">
      <c r="A10" s="22" t="s">
        <v>257</v>
      </c>
      <c r="B10" s="22"/>
      <c r="C10" s="22"/>
      <c r="D10" s="23" t="s">
        <v>863</v>
      </c>
      <c r="E10" s="23"/>
      <c r="F10" s="23"/>
      <c r="G10" s="23"/>
      <c r="H10" s="23"/>
      <c r="I10" s="23"/>
      <c r="J10" s="23"/>
    </row>
    <row r="11" customFormat="false" ht="15" hidden="false" customHeight="true" outlineLevel="0" collapsed="false">
      <c r="A11" s="22" t="s">
        <v>259</v>
      </c>
      <c r="B11" s="22"/>
      <c r="C11" s="22"/>
      <c r="D11" s="86"/>
      <c r="E11" s="86"/>
      <c r="F11" s="86"/>
      <c r="G11" s="86"/>
      <c r="H11" s="86"/>
      <c r="I11" s="86"/>
      <c r="J11" s="86"/>
    </row>
    <row r="12" customFormat="false" ht="15" hidden="false" customHeight="true" outlineLevel="0" collapsed="false">
      <c r="A12" s="22" t="s">
        <v>261</v>
      </c>
      <c r="B12" s="22"/>
      <c r="C12" s="22"/>
      <c r="D12" s="87"/>
      <c r="E12" s="87"/>
      <c r="F12" s="87"/>
      <c r="G12" s="87"/>
      <c r="H12" s="87"/>
      <c r="I12" s="87"/>
      <c r="J12" s="87"/>
    </row>
    <row r="13" customFormat="false" ht="35.05" hidden="false" customHeight="true" outlineLevel="0" collapsed="false">
      <c r="A13" s="22" t="s">
        <v>262</v>
      </c>
      <c r="B13" s="22"/>
      <c r="C13" s="22"/>
      <c r="D13" s="22" t="s">
        <v>864</v>
      </c>
      <c r="E13" s="22"/>
      <c r="F13" s="22"/>
      <c r="G13" s="22"/>
      <c r="H13" s="22"/>
      <c r="I13" s="22"/>
      <c r="J13" s="22"/>
    </row>
    <row r="15" customFormat="false" ht="15" hidden="false" customHeight="false" outlineLevel="0" collapsed="false">
      <c r="A15" s="25" t="s">
        <v>264</v>
      </c>
    </row>
    <row r="16" customFormat="false" ht="22.35" hidden="false" customHeight="true" outlineLevel="0" collapsed="false">
      <c r="A16" s="26" t="s">
        <v>265</v>
      </c>
      <c r="B16" s="26" t="s">
        <v>266</v>
      </c>
      <c r="C16" s="26" t="s">
        <v>267</v>
      </c>
      <c r="D16" s="26" t="s">
        <v>268</v>
      </c>
      <c r="E16" s="26" t="s">
        <v>269</v>
      </c>
      <c r="F16" s="26" t="s">
        <v>270</v>
      </c>
      <c r="G16" s="26" t="s">
        <v>271</v>
      </c>
      <c r="H16" s="26"/>
      <c r="I16" s="26"/>
      <c r="J16" s="26"/>
    </row>
    <row r="17" customFormat="false" ht="19.4" hidden="false" customHeight="true" outlineLevel="0" collapsed="false">
      <c r="A17" s="27" t="s">
        <v>435</v>
      </c>
      <c r="B17" s="28" t="s">
        <v>404</v>
      </c>
      <c r="C17" s="28" t="s">
        <v>865</v>
      </c>
      <c r="D17" s="29" t="n">
        <v>9480</v>
      </c>
      <c r="E17" s="30" t="n">
        <f aca="false">IF(D17="","",D17*12)</f>
        <v>113760</v>
      </c>
      <c r="F17" s="31" t="n">
        <v>0.2</v>
      </c>
      <c r="G17" s="32" t="s">
        <v>866</v>
      </c>
      <c r="H17" s="32"/>
      <c r="I17" s="32"/>
      <c r="J17" s="32"/>
    </row>
    <row r="18" customFormat="false" ht="23.85" hidden="false" customHeight="true" outlineLevel="0" collapsed="false">
      <c r="A18" s="27" t="s">
        <v>867</v>
      </c>
      <c r="B18" s="28" t="s">
        <v>868</v>
      </c>
      <c r="C18" s="28" t="s">
        <v>869</v>
      </c>
      <c r="D18" s="33"/>
      <c r="E18" s="30" t="str">
        <f aca="false">IF(D18="","",D18*12)</f>
        <v/>
      </c>
      <c r="F18" s="31" t="n">
        <v>5</v>
      </c>
      <c r="G18" s="32" t="s">
        <v>870</v>
      </c>
      <c r="H18" s="32"/>
      <c r="I18" s="32"/>
      <c r="J18" s="32"/>
    </row>
    <row r="19" customFormat="false" ht="15" hidden="false" customHeight="true" outlineLevel="0" collapsed="false">
      <c r="A19" s="27" t="s">
        <v>871</v>
      </c>
      <c r="B19" s="28" t="s">
        <v>872</v>
      </c>
      <c r="C19" s="28" t="s">
        <v>873</v>
      </c>
      <c r="D19" s="80" t="n">
        <v>11000</v>
      </c>
      <c r="E19" s="30" t="n">
        <f aca="false">IF(D19="","",D19*12)</f>
        <v>132000</v>
      </c>
      <c r="F19" s="31" t="n">
        <v>4.8</v>
      </c>
      <c r="G19" s="32" t="s">
        <v>874</v>
      </c>
      <c r="H19" s="32"/>
      <c r="I19" s="32"/>
      <c r="J19" s="32"/>
    </row>
    <row r="20" customFormat="false" ht="15" hidden="false" customHeight="false" outlineLevel="0" collapsed="false">
      <c r="A20" s="34" t="s">
        <v>284</v>
      </c>
      <c r="B20" s="34"/>
      <c r="C20" s="34"/>
      <c r="D20" s="34"/>
      <c r="E20" s="35" t="n">
        <f aca="false">IF(SUMPRODUCT(E17:E19,F17:F19)=0,"",SUMPRODUCT(E17:E19,F17:F19))</f>
        <v>656352</v>
      </c>
      <c r="F20" s="36"/>
      <c r="G20" s="36"/>
      <c r="H20" s="36"/>
      <c r="I20" s="36"/>
      <c r="J20" s="36"/>
    </row>
    <row r="21" customFormat="false" ht="15" hidden="false" customHeight="false" outlineLevel="0" collapsed="false">
      <c r="A21" s="37" t="s">
        <v>510</v>
      </c>
      <c r="B21" s="37"/>
      <c r="C21" s="37"/>
      <c r="D21" s="37"/>
      <c r="E21" s="37"/>
      <c r="F21" s="37"/>
      <c r="G21" s="37"/>
      <c r="H21" s="37"/>
      <c r="I21" s="37"/>
      <c r="J21" s="37"/>
    </row>
    <row r="24" customFormat="false" ht="15" hidden="false" customHeight="false" outlineLevel="0" collapsed="false">
      <c r="A24" s="25" t="s">
        <v>298</v>
      </c>
    </row>
    <row r="25" customFormat="false" ht="15" hidden="false" customHeight="true" outlineLevel="0" collapsed="false">
      <c r="A25" s="22" t="s">
        <v>299</v>
      </c>
      <c r="B25" s="22"/>
      <c r="C25" s="22"/>
      <c r="D25" s="42" t="n">
        <v>0</v>
      </c>
      <c r="E25" s="43" t="s">
        <v>300</v>
      </c>
      <c r="F25" s="43"/>
      <c r="G25" s="43"/>
      <c r="H25" s="43"/>
      <c r="I25" s="43"/>
      <c r="J25" s="43"/>
    </row>
    <row r="26" customFormat="false" ht="15" hidden="false" customHeight="true" outlineLevel="0" collapsed="false">
      <c r="A26" s="22" t="s">
        <v>301</v>
      </c>
      <c r="B26" s="22"/>
      <c r="C26" s="22"/>
      <c r="D26" s="34" t="s">
        <v>302</v>
      </c>
      <c r="E26" s="43" t="s">
        <v>303</v>
      </c>
      <c r="F26" s="43"/>
      <c r="G26" s="43"/>
      <c r="H26" s="43"/>
      <c r="I26" s="43"/>
      <c r="J26" s="43"/>
    </row>
    <row r="27" customFormat="false" ht="15" hidden="false" customHeight="true" outlineLevel="0" collapsed="false">
      <c r="A27" s="22" t="s">
        <v>304</v>
      </c>
      <c r="B27" s="22"/>
      <c r="C27" s="22"/>
      <c r="D27" s="44"/>
      <c r="E27" s="43" t="s">
        <v>305</v>
      </c>
      <c r="F27" s="43"/>
      <c r="G27" s="43"/>
      <c r="H27" s="43"/>
      <c r="I27" s="43"/>
      <c r="J27" s="43"/>
    </row>
    <row r="28" customFormat="false" ht="23.85" hidden="false" customHeight="true" outlineLevel="0" collapsed="false">
      <c r="A28" s="22" t="s">
        <v>306</v>
      </c>
      <c r="B28" s="22"/>
      <c r="C28" s="22"/>
      <c r="D28" s="45" t="str">
        <f aca="false">IF(OR($D$25="",E17=""),"",IF($D$25=0,"— (no % rent)",E17/$D$25))</f>
        <v>— (no % rent)</v>
      </c>
      <c r="E28" s="43" t="s">
        <v>307</v>
      </c>
      <c r="F28" s="43"/>
      <c r="G28" s="43"/>
      <c r="H28" s="43"/>
      <c r="I28" s="43"/>
      <c r="J28" s="43"/>
    </row>
    <row r="29" customFormat="false" ht="23.85" hidden="false" customHeight="true" outlineLevel="0" collapsed="false">
      <c r="A29" s="22" t="s">
        <v>308</v>
      </c>
      <c r="B29" s="22"/>
      <c r="C29" s="22"/>
      <c r="D29" s="45" t="str">
        <f aca="false">IF($D$25="","",IF($D$25=0,"— (no % rent)",IF($D$27&lt;&gt;"",$D$27,IF(E17="","",E17/$D$25))))</f>
        <v>— (no % rent)</v>
      </c>
      <c r="E29" s="36"/>
      <c r="F29" s="36"/>
      <c r="G29" s="36"/>
      <c r="H29" s="36"/>
      <c r="I29" s="36"/>
      <c r="J29" s="36"/>
    </row>
    <row r="30" customFormat="false" ht="15" hidden="false" customHeight="true" outlineLevel="0" collapsed="false">
      <c r="A30" s="22" t="s">
        <v>309</v>
      </c>
      <c r="B30" s="22"/>
      <c r="C30" s="22"/>
      <c r="D30" s="45" t="str">
        <f aca="false">IF(OR($D$25="",D12=""),"",IF($D$25=0,0,IF($D$29="","",MAX(0,D12-$D$29)*$D$25)))</f>
        <v/>
      </c>
      <c r="E30" s="36"/>
      <c r="F30" s="36"/>
      <c r="G30" s="36"/>
      <c r="H30" s="36"/>
      <c r="I30" s="36"/>
      <c r="J30" s="36"/>
    </row>
    <row r="31" customFormat="false" ht="15" hidden="false" customHeight="true" outlineLevel="0" collapsed="false">
      <c r="A31" s="22" t="s">
        <v>310</v>
      </c>
      <c r="B31" s="22"/>
      <c r="C31" s="22"/>
      <c r="D31" s="45" t="str">
        <f aca="false">IF(OR(D30="",E17=""),"",E17+D30)</f>
        <v/>
      </c>
      <c r="E31" s="36"/>
      <c r="F31" s="36"/>
      <c r="G31" s="36"/>
      <c r="H31" s="36"/>
      <c r="I31" s="36"/>
      <c r="J31" s="36"/>
    </row>
    <row r="32" customFormat="false" ht="15" hidden="false" customHeight="true" outlineLevel="0" collapsed="false">
      <c r="A32" s="22" t="s">
        <v>311</v>
      </c>
      <c r="B32" s="22"/>
      <c r="C32" s="22"/>
      <c r="D32" s="46" t="str">
        <f aca="false">IF(OR(D31="",D12=""),"",D31/D12)</f>
        <v/>
      </c>
      <c r="E32" s="36"/>
      <c r="F32" s="36"/>
      <c r="G32" s="36"/>
      <c r="H32" s="36"/>
      <c r="I32" s="36"/>
      <c r="J32" s="36"/>
    </row>
    <row r="34" customFormat="false" ht="15" hidden="false" customHeight="false" outlineLevel="0" collapsed="false">
      <c r="A34" s="25" t="s">
        <v>312</v>
      </c>
    </row>
    <row r="35" customFormat="false" ht="22.35" hidden="false" customHeight="false" outlineLevel="0" collapsed="false">
      <c r="A35" s="26" t="s">
        <v>313</v>
      </c>
      <c r="B35" s="26" t="s">
        <v>314</v>
      </c>
      <c r="C35" s="26" t="s">
        <v>315</v>
      </c>
      <c r="D35" s="26" t="s">
        <v>316</v>
      </c>
      <c r="E35" s="26" t="s">
        <v>317</v>
      </c>
      <c r="F35" s="26" t="s">
        <v>318</v>
      </c>
      <c r="G35" s="26" t="s">
        <v>319</v>
      </c>
      <c r="H35" s="26" t="s">
        <v>269</v>
      </c>
      <c r="I35" s="26" t="s">
        <v>320</v>
      </c>
      <c r="J35" s="26" t="s">
        <v>321</v>
      </c>
    </row>
    <row r="36" customFormat="false" ht="22.35" hidden="false" customHeight="false" outlineLevel="0" collapsed="false">
      <c r="A36" s="48"/>
      <c r="B36" s="47" t="s">
        <v>422</v>
      </c>
      <c r="C36" s="48"/>
      <c r="D36" s="48"/>
      <c r="E36" s="48"/>
      <c r="F36" s="48"/>
      <c r="G36" s="48"/>
      <c r="H36" s="48"/>
      <c r="I36" s="48"/>
      <c r="J36" s="47" t="s">
        <v>423</v>
      </c>
    </row>
    <row r="37" customFormat="false" ht="15" hidden="false" customHeight="false" outlineLevel="0" collapsed="false">
      <c r="A37" s="52" t="s">
        <v>344</v>
      </c>
      <c r="B37" s="52"/>
      <c r="C37" s="52"/>
      <c r="D37" s="52"/>
      <c r="E37" s="52"/>
      <c r="F37" s="52"/>
      <c r="G37" s="52"/>
      <c r="H37" s="53" t="str">
        <f aca="false">IF(COUNT(H36:H36)=0,"",AVERAGE(H36:H36))</f>
        <v/>
      </c>
      <c r="I37" s="52" t="str">
        <f aca="false">IF(COUNT(H36:H36)=0,"",TEXT(MIN(H36:H36),"$#,##0")&amp;" – "&amp;TEXT(MAX(H36:H36),"$#,##0"))</f>
        <v/>
      </c>
      <c r="J37" s="36"/>
    </row>
    <row r="39" customFormat="false" ht="15" hidden="false" customHeight="false" outlineLevel="0" collapsed="false">
      <c r="A39" s="25" t="s">
        <v>345</v>
      </c>
    </row>
    <row r="40" customFormat="false" ht="53.7" hidden="false" customHeight="true" outlineLevel="0" collapsed="false">
      <c r="A40" s="26" t="s">
        <v>346</v>
      </c>
      <c r="B40" s="26"/>
      <c r="C40" s="26"/>
      <c r="D40" s="26" t="s">
        <v>347</v>
      </c>
      <c r="E40" s="26" t="s">
        <v>348</v>
      </c>
      <c r="F40" s="26" t="s">
        <v>349</v>
      </c>
      <c r="G40" s="26" t="s">
        <v>350</v>
      </c>
      <c r="H40" s="54" t="s">
        <v>351</v>
      </c>
    </row>
    <row r="41" customFormat="false" ht="68.65" hidden="false" customHeight="true" outlineLevel="0" collapsed="false">
      <c r="A41" s="22" t="s">
        <v>352</v>
      </c>
      <c r="B41" s="22"/>
      <c r="C41" s="22"/>
      <c r="D41" s="55" t="s">
        <v>353</v>
      </c>
      <c r="E41" s="56"/>
      <c r="F41" s="56"/>
      <c r="G41" s="56"/>
      <c r="H41" s="56"/>
    </row>
    <row r="42" customFormat="false" ht="15" hidden="false" customHeight="true" outlineLevel="0" collapsed="false">
      <c r="A42" s="22" t="s">
        <v>354</v>
      </c>
      <c r="B42" s="22"/>
      <c r="C42" s="22"/>
      <c r="D42" s="57" t="n">
        <v>113760</v>
      </c>
      <c r="E42" s="57"/>
      <c r="F42" s="57"/>
      <c r="G42" s="57"/>
      <c r="H42" s="57"/>
    </row>
    <row r="43" customFormat="false" ht="15" hidden="false" customHeight="true" outlineLevel="0" collapsed="false">
      <c r="A43" s="22" t="s">
        <v>355</v>
      </c>
      <c r="B43" s="22"/>
      <c r="C43" s="22"/>
      <c r="D43" s="58" t="n">
        <v>0.02</v>
      </c>
      <c r="E43" s="58"/>
      <c r="F43" s="58"/>
      <c r="G43" s="58"/>
      <c r="H43" s="58"/>
    </row>
    <row r="44" customFormat="false" ht="15" hidden="false" customHeight="true" outlineLevel="0" collapsed="false">
      <c r="A44" s="22" t="s">
        <v>356</v>
      </c>
      <c r="B44" s="22"/>
      <c r="C44" s="22"/>
      <c r="D44" s="56" t="n">
        <v>5</v>
      </c>
      <c r="E44" s="56"/>
      <c r="F44" s="56"/>
      <c r="G44" s="56"/>
      <c r="H44" s="56"/>
    </row>
    <row r="45" customFormat="false" ht="15" hidden="false" customHeight="true" outlineLevel="0" collapsed="false">
      <c r="A45" s="22" t="s">
        <v>357</v>
      </c>
      <c r="B45" s="22"/>
      <c r="C45" s="22"/>
      <c r="D45" s="59" t="n">
        <v>20</v>
      </c>
      <c r="E45" s="59"/>
      <c r="F45" s="59"/>
      <c r="G45" s="59"/>
      <c r="H45" s="59"/>
    </row>
    <row r="46" customFormat="false" ht="15" hidden="false" customHeight="true" outlineLevel="0" collapsed="false">
      <c r="A46" s="22" t="s">
        <v>358</v>
      </c>
      <c r="B46" s="22"/>
      <c r="C46" s="22"/>
      <c r="D46" s="60" t="n">
        <f aca="false">IF(OR(D42="",E17=""),"",D42-E17)</f>
        <v>0</v>
      </c>
      <c r="E46" s="60" t="str">
        <f aca="false">IF(OR(E42="",E17=""),"",E42-E17)</f>
        <v/>
      </c>
      <c r="F46" s="60" t="str">
        <f aca="false">IF(OR(F42="",E17=""),"",F42-E17)</f>
        <v/>
      </c>
      <c r="G46" s="60" t="str">
        <f aca="false">IF(OR(G42="",E17=""),"",G42-E17)</f>
        <v/>
      </c>
      <c r="H46" s="60" t="str">
        <f aca="false">IF(OR(H42="",E17=""),"",H42-E17)</f>
        <v/>
      </c>
    </row>
    <row r="47" customFormat="false" ht="15" hidden="false" customHeight="true" outlineLevel="0" collapsed="false">
      <c r="A47" s="22" t="s">
        <v>359</v>
      </c>
      <c r="B47" s="22"/>
      <c r="C47" s="22"/>
      <c r="D47" s="61" t="n">
        <f aca="false">IF(OR(D42="",E17=""),"",(D42-E17)/E17)</f>
        <v>0</v>
      </c>
      <c r="E47" s="61" t="str">
        <f aca="false">IF(OR(E42="",E17=""),"",(E42-E17)/E17)</f>
        <v/>
      </c>
      <c r="F47" s="61" t="str">
        <f aca="false">IF(OR(F42="",E17=""),"",(F42-E17)/E17)</f>
        <v/>
      </c>
      <c r="G47" s="61" t="str">
        <f aca="false">IF(OR(G42="",E17=""),"",(G42-E17)/E17)</f>
        <v/>
      </c>
      <c r="H47" s="61" t="str">
        <f aca="false">IF(OR(H42="",E17=""),"",(H42-E17)/E17)</f>
        <v/>
      </c>
    </row>
    <row r="48" customFormat="false" ht="15" hidden="false" customHeight="true" outlineLevel="0" collapsed="false">
      <c r="A48" s="22" t="s">
        <v>360</v>
      </c>
      <c r="B48" s="22"/>
      <c r="C48" s="22"/>
      <c r="D48" s="62" t="str">
        <f aca="false">IF(OR(D42="",D12=""),"",D42/D12)</f>
        <v/>
      </c>
      <c r="E48" s="62" t="str">
        <f aca="false">IF(OR(E42="",D12=""),"",E42/D12)</f>
        <v/>
      </c>
      <c r="F48" s="62" t="str">
        <f aca="false">IF(OR(F42="",D12=""),"",F42/D12)</f>
        <v/>
      </c>
      <c r="G48" s="62" t="str">
        <f aca="false">IF(OR(G42="",D12=""),"",G42/D12)</f>
        <v/>
      </c>
      <c r="H48" s="62" t="str">
        <f aca="false">IF(OR(H42="",D12=""),"",H42/D12)</f>
        <v/>
      </c>
    </row>
    <row r="49" customFormat="false" ht="15" hidden="false" customHeight="true" outlineLevel="0" collapsed="false">
      <c r="A49" s="22" t="s">
        <v>361</v>
      </c>
      <c r="B49" s="22"/>
      <c r="C49" s="22"/>
      <c r="D49" s="61" t="str">
        <f aca="false">IF(OR(D42="",H37=""),"",(D42-H37)/H37)</f>
        <v/>
      </c>
      <c r="E49" s="61" t="str">
        <f aca="false">IF(OR(E42="",H37=""),"",(E42-H37)/H37)</f>
        <v/>
      </c>
      <c r="F49" s="61" t="str">
        <f aca="false">IF(OR(F42="",H37=""),"",(F42-H37)/H37)</f>
        <v/>
      </c>
      <c r="G49" s="61" t="str">
        <f aca="false">IF(OR(G42="",H37=""),"",(G42-H37)/H37)</f>
        <v/>
      </c>
      <c r="H49" s="61" t="str">
        <f aca="false">IF(OR(H42="",H37=""),"",(H42-H37)/H37)</f>
        <v/>
      </c>
    </row>
    <row r="50" customFormat="false" ht="15" hidden="false" customHeight="true" outlineLevel="0" collapsed="false">
      <c r="A50" s="22" t="s">
        <v>362</v>
      </c>
      <c r="B50" s="22"/>
      <c r="C50" s="22"/>
      <c r="D50" s="63" t="n">
        <f aca="true">IF(D42="","",SUMPRODUCT(D42*(1+IF(D43="",0,D43))^ROUNDDOWN((ROW(INDIRECT("1:10"))-1)/IF(D44="",5,D44),0)))</f>
        <v>1148976</v>
      </c>
      <c r="E50" s="63" t="str">
        <f aca="true">IF(E42="","",SUMPRODUCT(E42*(1+IF(E43="",0,E43))^ROUNDDOWN((ROW(INDIRECT("1:10"))-1)/IF(E44="",5,E44),0)))</f>
        <v/>
      </c>
      <c r="F50" s="63" t="str">
        <f aca="true">IF(F42="","",SUMPRODUCT(F42*(1+IF(F43="",0,F43))^ROUNDDOWN((ROW(INDIRECT("1:10"))-1)/IF(F44="",5,F44),0)))</f>
        <v/>
      </c>
      <c r="G50" s="63" t="str">
        <f aca="true">IF(G42="","",SUMPRODUCT(G42*(1+IF(G43="",0,G43))^ROUNDDOWN((ROW(INDIRECT("1:10"))-1)/IF(G44="",5,G44),0)))</f>
        <v/>
      </c>
      <c r="H50" s="63" t="str">
        <f aca="true">IF(H42="","",SUMPRODUCT(H42*(1+IF(H43="",0,H43))^ROUNDDOWN((ROW(INDIRECT("1:10"))-1)/IF(H44="",5,H44),0)))</f>
        <v/>
      </c>
    </row>
    <row r="51" customFormat="false" ht="15" hidden="false" customHeight="true" outlineLevel="0" collapsed="false">
      <c r="A51" s="22" t="s">
        <v>363</v>
      </c>
      <c r="B51" s="22"/>
      <c r="C51" s="22"/>
      <c r="D51" s="60" t="n">
        <f aca="false">IF(OR(D50="",E20=""),"",D50-E20)</f>
        <v>492624</v>
      </c>
      <c r="E51" s="60" t="str">
        <f aca="false">IF(OR(E50="",E20=""),"",E50-E20)</f>
        <v/>
      </c>
      <c r="F51" s="60" t="str">
        <f aca="false">IF(OR(F50="",E20=""),"",F50-E20)</f>
        <v/>
      </c>
      <c r="G51" s="60" t="str">
        <f aca="false">IF(OR(G50="",E20=""),"",G50-E20)</f>
        <v/>
      </c>
      <c r="H51" s="60" t="str">
        <f aca="false">IF(OR(H50="",E20=""),"",H50-E20)</f>
        <v/>
      </c>
    </row>
    <row r="52" customFormat="false" ht="23.85" hidden="false" customHeight="true" outlineLevel="0" collapsed="false">
      <c r="A52" s="22" t="s">
        <v>364</v>
      </c>
      <c r="B52" s="22"/>
      <c r="C52" s="22"/>
      <c r="D52" s="58"/>
      <c r="E52" s="58"/>
      <c r="F52" s="58"/>
      <c r="G52" s="58"/>
      <c r="H52" s="58"/>
    </row>
    <row r="53" customFormat="false" ht="23.85" hidden="false" customHeight="true" outlineLevel="0" collapsed="false">
      <c r="A53" s="22" t="s">
        <v>365</v>
      </c>
      <c r="B53" s="22"/>
      <c r="C53" s="22"/>
      <c r="D53" s="57"/>
      <c r="E53" s="57"/>
      <c r="F53" s="57"/>
      <c r="G53" s="57"/>
      <c r="H53" s="57"/>
    </row>
    <row r="54" customFormat="false" ht="15" hidden="false" customHeight="true" outlineLevel="0" collapsed="false">
      <c r="A54" s="22" t="s">
        <v>366</v>
      </c>
      <c r="B54" s="22"/>
      <c r="C54" s="22"/>
      <c r="D54" s="63" t="str">
        <f aca="false">IF(OR(D42="",AND(D52="",$D$25="")),"",IF(IF(D52="",IF($D$25="",0,$D$25),D52)=0,"— (% rent removed)",IF(D53&lt;&gt;"",D53,IF($D$27&lt;&gt;"",$D$27,D42/IF(D52="",IF($D$25="",0,$D$25),D52)))))</f>
        <v>— (% rent removed)</v>
      </c>
      <c r="E54" s="63" t="str">
        <f aca="false">IF(OR(E42="",AND(E52="",$D$25="")),"",IF(IF(E52="",IF($D$25="",0,$D$25),E52)=0,"— (% rent removed)",IF(E53&lt;&gt;"",E53,IF($D$27&lt;&gt;"",$D$27,E42/IF(E52="",IF($D$25="",0,$D$25),E52)))))</f>
        <v/>
      </c>
      <c r="F54" s="63" t="str">
        <f aca="false">IF(OR(F42="",AND(F52="",$D$25="")),"",IF(IF(F52="",IF($D$25="",0,$D$25),F52)=0,"— (% rent removed)",IF(F53&lt;&gt;"",F53,IF($D$27&lt;&gt;"",$D$27,F42/IF(F52="",IF($D$25="",0,$D$25),F52)))))</f>
        <v/>
      </c>
      <c r="G54" s="63" t="str">
        <f aca="false">IF(OR(G42="",AND(G52="",$D$25="")),"",IF(IF(G52="",IF($D$25="",0,$D$25),G52)=0,"— (% rent removed)",IF(G53&lt;&gt;"",G53,IF($D$27&lt;&gt;"",$D$27,G42/IF(G52="",IF($D$25="",0,$D$25),G52)))))</f>
        <v/>
      </c>
      <c r="H54" s="63" t="str">
        <f aca="false">IF(OR(H42="",AND(H52="",$D$25="")),"",IF(IF(H52="",IF($D$25="",0,$D$25),H52)=0,"— (% rent removed)",IF(H53&lt;&gt;"",H53,IF($D$27&lt;&gt;"",$D$27,H42/IF(H52="",IF($D$25="",0,$D$25),H52)))))</f>
        <v/>
      </c>
    </row>
    <row r="55" customFormat="false" ht="15" hidden="false" customHeight="true" outlineLevel="0" collapsed="false">
      <c r="A55" s="22" t="s">
        <v>367</v>
      </c>
      <c r="B55" s="22"/>
      <c r="C55" s="22"/>
      <c r="D55" s="63" t="str">
        <f aca="false">IF(OR(D42="",AND(D52="",$D$25=""),D12=""),"",IF(IF(D52="",IF($D$25="",0,$D$25),D52)=0,0,MAX(0,D12-D54)*IF(D52="",IF($D$25="",0,$D$25),D52)))</f>
        <v/>
      </c>
      <c r="E55" s="63" t="str">
        <f aca="false">IF(OR(E42="",AND(E52="",$D$25=""),D12=""),"",IF(IF(E52="",IF($D$25="",0,$D$25),E52)=0,0,MAX(0,D12-E54)*IF(E52="",IF($D$25="",0,$D$25),E52)))</f>
        <v/>
      </c>
      <c r="F55" s="63" t="str">
        <f aca="false">IF(OR(F42="",AND(F52="",$D$25=""),D12=""),"",IF(IF(F52="",IF($D$25="",0,$D$25),F52)=0,0,MAX(0,D12-F54)*IF(F52="",IF($D$25="",0,$D$25),F52)))</f>
        <v/>
      </c>
      <c r="G55" s="63" t="str">
        <f aca="false">IF(OR(G42="",AND(G52="",$D$25=""),D12=""),"",IF(IF(G52="",IF($D$25="",0,$D$25),G52)=0,0,MAX(0,D12-G54)*IF(G52="",IF($D$25="",0,$D$25),G52)))</f>
        <v/>
      </c>
      <c r="H55" s="63" t="str">
        <f aca="false">IF(OR(H42="",AND(H52="",$D$25=""),D12=""),"",IF(IF(H52="",IF($D$25="",0,$D$25),H52)=0,0,MAX(0,D12-H54)*IF(H52="",IF($D$25="",0,$D$25),H52)))</f>
        <v/>
      </c>
    </row>
    <row r="56" customFormat="false" ht="15" hidden="false" customHeight="true" outlineLevel="0" collapsed="false">
      <c r="A56" s="22" t="s">
        <v>368</v>
      </c>
      <c r="B56" s="22"/>
      <c r="C56" s="22"/>
      <c r="D56" s="63" t="str">
        <f aca="false">IF(OR(D42="",D55=""),"",D42+D55)</f>
        <v/>
      </c>
      <c r="E56" s="63" t="str">
        <f aca="false">IF(OR(E42="",E55=""),"",E42+E55)</f>
        <v/>
      </c>
      <c r="F56" s="63" t="str">
        <f aca="false">IF(OR(F42="",F55=""),"",F42+F55)</f>
        <v/>
      </c>
      <c r="G56" s="63" t="str">
        <f aca="false">IF(OR(G42="",G55=""),"",G42+G55)</f>
        <v/>
      </c>
      <c r="H56" s="63" t="str">
        <f aca="false">IF(OR(H42="",H55=""),"",H42+H55)</f>
        <v/>
      </c>
    </row>
    <row r="57" customFormat="false" ht="15" hidden="false" customHeight="true" outlineLevel="0" collapsed="false">
      <c r="A57" s="22" t="s">
        <v>369</v>
      </c>
      <c r="B57" s="22"/>
      <c r="C57" s="22"/>
      <c r="D57" s="62" t="str">
        <f aca="false">IF(OR(D56="",D12=""),"",D56/D12)</f>
        <v/>
      </c>
      <c r="E57" s="62" t="str">
        <f aca="false">IF(OR(E56="",D12=""),"",E56/D12)</f>
        <v/>
      </c>
      <c r="F57" s="62" t="str">
        <f aca="false">IF(OR(F56="",D12=""),"",F56/D12)</f>
        <v/>
      </c>
      <c r="G57" s="62" t="str">
        <f aca="false">IF(OR(G56="",D12=""),"",G56/D12)</f>
        <v/>
      </c>
      <c r="H57" s="62" t="str">
        <f aca="false">IF(OR(H56="",D12=""),"",H56/D12)</f>
        <v/>
      </c>
    </row>
    <row r="58" customFormat="false" ht="23.85" hidden="false" customHeight="true" outlineLevel="0" collapsed="false">
      <c r="A58" s="22" t="s">
        <v>370</v>
      </c>
      <c r="B58" s="22"/>
      <c r="C58" s="22"/>
      <c r="D58" s="28"/>
      <c r="E58" s="28"/>
      <c r="F58" s="28"/>
      <c r="G58" s="28"/>
      <c r="H58" s="28"/>
    </row>
    <row r="59" customFormat="false" ht="15" hidden="false" customHeight="true" outlineLevel="0" collapsed="false">
      <c r="A59" s="22" t="s">
        <v>371</v>
      </c>
      <c r="B59" s="22"/>
      <c r="C59" s="22"/>
      <c r="D59" s="63" t="str">
        <f aca="true">IF(OR(D42="",AND(D52="",$D$25=""),D12=""),"",IF(IF(D52="",IF($D$25="",0,$D$25),D52)=0,0,SUMPRODUCT(((D12*1.02^(ROW(INDIRECT("1:10"))-1))-(IF(D53&lt;&gt;"",D53,IF($D$27&lt;&gt;"",$D$27,(D42*(1+IF(D43="",0,D43))^ROUNDDOWN((ROW(INDIRECT("1:10"))-1)/IF(D44="",5,D44),0))/IF(D52="",IF($D$25="",0,$D$25),D52))))&gt;0)*((D12*1.02^(ROW(INDIRECT("1:10"))-1))-(IF(D53&lt;&gt;"",D53,IF($D$27&lt;&gt;"",$D$27,(D42*(1+IF(D43="",0,D43))^ROUNDDOWN((ROW(INDIRECT("1:10"))-1)/IF(D44="",5,D44),0))/IF(D52="",IF($D$25="",0,$D$25),D52))))))*IF(D52="",IF($D$25="",0,$D$25),D52)))</f>
        <v/>
      </c>
      <c r="E59" s="63" t="str">
        <f aca="true">IF(OR(E42="",AND(E52="",$D$25=""),D12=""),"",IF(IF(E52="",IF($D$25="",0,$D$25),E52)=0,0,SUMPRODUCT(((D12*1.02^(ROW(INDIRECT("1:10"))-1))-(IF(E53&lt;&gt;"",E53,IF($D$27&lt;&gt;"",$D$27,(E42*(1+IF(E43="",0,E43))^ROUNDDOWN((ROW(INDIRECT("1:10"))-1)/IF(E44="",5,E44),0))/IF(E52="",IF($D$25="",0,$D$25),E52))))&gt;0)*((D12*1.02^(ROW(INDIRECT("1:10"))-1))-(IF(E53&lt;&gt;"",E53,IF($D$27&lt;&gt;"",$D$27,(E42*(1+IF(E43="",0,E43))^ROUNDDOWN((ROW(INDIRECT("1:10"))-1)/IF(E44="",5,E44),0))/IF(E52="",IF($D$25="",0,$D$25),E52))))))*IF(E52="",IF($D$25="",0,$D$25),E52)))</f>
        <v/>
      </c>
      <c r="F59" s="63" t="str">
        <f aca="true">IF(OR(F42="",AND(F52="",$D$25=""),D12=""),"",IF(IF(F52="",IF($D$25="",0,$D$25),F52)=0,0,SUMPRODUCT(((D12*1.02^(ROW(INDIRECT("1:10"))-1))-(IF(F53&lt;&gt;"",F53,IF($D$27&lt;&gt;"",$D$27,(F42*(1+IF(F43="",0,F43))^ROUNDDOWN((ROW(INDIRECT("1:10"))-1)/IF(F44="",5,F44),0))/IF(F52="",IF($D$25="",0,$D$25),F52))))&gt;0)*((D12*1.02^(ROW(INDIRECT("1:10"))-1))-(IF(F53&lt;&gt;"",F53,IF($D$27&lt;&gt;"",$D$27,(F42*(1+IF(F43="",0,F43))^ROUNDDOWN((ROW(INDIRECT("1:10"))-1)/IF(F44="",5,F44),0))/IF(F52="",IF($D$25="",0,$D$25),F52))))))*IF(F52="",IF($D$25="",0,$D$25),F52)))</f>
        <v/>
      </c>
      <c r="G59" s="63" t="str">
        <f aca="true">IF(OR(G42="",AND(G52="",$D$25=""),D12=""),"",IF(IF(G52="",IF($D$25="",0,$D$25),G52)=0,0,SUMPRODUCT(((D12*1.02^(ROW(INDIRECT("1:10"))-1))-(IF(G53&lt;&gt;"",G53,IF($D$27&lt;&gt;"",$D$27,(G42*(1+IF(G43="",0,G43))^ROUNDDOWN((ROW(INDIRECT("1:10"))-1)/IF(G44="",5,G44),0))/IF(G52="",IF($D$25="",0,$D$25),G52))))&gt;0)*((D12*1.02^(ROW(INDIRECT("1:10"))-1))-(IF(G53&lt;&gt;"",G53,IF($D$27&lt;&gt;"",$D$27,(G42*(1+IF(G43="",0,G43))^ROUNDDOWN((ROW(INDIRECT("1:10"))-1)/IF(G44="",5,G44),0))/IF(G52="",IF($D$25="",0,$D$25),G52))))))*IF(G52="",IF($D$25="",0,$D$25),G52)))</f>
        <v/>
      </c>
      <c r="H59" s="63" t="str">
        <f aca="true">IF(OR(H42="",AND(H52="",$D$25=""),D12=""),"",IF(IF(H52="",IF($D$25="",0,$D$25),H52)=0,0,SUMPRODUCT(((D12*1.02^(ROW(INDIRECT("1:10"))-1))-(IF(H53&lt;&gt;"",H53,IF($D$27&lt;&gt;"",$D$27,(H42*(1+IF(H43="",0,H43))^ROUNDDOWN((ROW(INDIRECT("1:10"))-1)/IF(H44="",5,H44),0))/IF(H52="",IF($D$25="",0,$D$25),H52))))&gt;0)*((D12*1.02^(ROW(INDIRECT("1:10"))-1))-(IF(H53&lt;&gt;"",H53,IF($D$27&lt;&gt;"",$D$27,(H42*(1+IF(H43="",0,H43))^ROUNDDOWN((ROW(INDIRECT("1:10"))-1)/IF(H44="",5,H44),0))/IF(H52="",IF($D$25="",0,$D$25),H52))))))*IF(H52="",IF($D$25="",0,$D$25),H52)))</f>
        <v/>
      </c>
    </row>
    <row r="60" customFormat="false" ht="15" hidden="false" customHeight="true" outlineLevel="0" collapsed="false">
      <c r="A60" s="22" t="s">
        <v>372</v>
      </c>
      <c r="B60" s="22"/>
      <c r="C60" s="22"/>
      <c r="D60" s="63" t="str">
        <f aca="false">IF(OR(D50="",D59=""),"",D50+D59)</f>
        <v/>
      </c>
      <c r="E60" s="63" t="str">
        <f aca="false">IF(OR(E50="",E59=""),"",E50+E59)</f>
        <v/>
      </c>
      <c r="F60" s="63" t="str">
        <f aca="false">IF(OR(F50="",F59=""),"",F50+F59)</f>
        <v/>
      </c>
      <c r="G60" s="63" t="str">
        <f aca="false">IF(OR(G50="",G59=""),"",G50+G59)</f>
        <v/>
      </c>
      <c r="H60" s="63" t="str">
        <f aca="false">IF(OR(H50="",H59=""),"",H50+H59)</f>
        <v/>
      </c>
    </row>
    <row r="61" customFormat="false" ht="23.85" hidden="false" customHeight="true" outlineLevel="0" collapsed="false">
      <c r="A61" s="22" t="s">
        <v>373</v>
      </c>
      <c r="B61" s="22"/>
      <c r="C61" s="22"/>
      <c r="D61" s="65" t="n">
        <f aca="true">IF(D42="","",SUMPRODUCT(D42*(1+IF(D43="",0,D43))^ROUNDDOWN((ROW(INDIRECT("1:"&amp;IF(D45="",10,D45)))-1)/IF(D44="",5,D44),0))+IF(OR(D12="",IF(D52="",IF($D$25="",0,$D$25),D52)=0),0,SUMPRODUCT(((D12*1.02^(ROW(INDIRECT("1:"&amp;IF(D45="",10,D45)))-1))-(IF(D53&lt;&gt;"",D53,IF($D$27&lt;&gt;"",$D$27,(D42*(1+IF(D43="",0,D43))^ROUNDDOWN((ROW(INDIRECT("1:"&amp;IF(D45="",10,D45)))-1)/IF(D44="",5,D44),0))/IF(D52="",IF($D$25="",0,$D$25),D52))))&gt;0)*((D12*1.02^(ROW(INDIRECT("1:"&amp;IF(D45="",10,D45)))-1))-(IF(D53&lt;&gt;"",D53,IF($D$27&lt;&gt;"",$D$27,(D42*(1+IF(D43="",0,D43))^ROUNDDOWN((ROW(INDIRECT("1:"&amp;IF(D45="",10,D45)))-1)/IF(D44="",5,D44),0))/IF(D52="",IF($D$25="",0,$D$25),D52))))))*IF(D52="",IF($D$25="",0,$D$25),D52)))</f>
        <v>2344370.6304</v>
      </c>
      <c r="E61" s="65" t="str">
        <f aca="true">IF(E42="","",SUMPRODUCT(E42*(1+IF(E43="",0,E43))^ROUNDDOWN((ROW(INDIRECT("1:"&amp;IF(E45="",10,E45)))-1)/IF(E44="",5,E44),0))+IF(OR(D12="",IF(E52="",IF($D$25="",0,$D$25),E52)=0),0,SUMPRODUCT(((D12*1.02^(ROW(INDIRECT("1:"&amp;IF(E45="",10,E45)))-1))-(IF(E53&lt;&gt;"",E53,IF($D$27&lt;&gt;"",$D$27,(E42*(1+IF(E43="",0,E43))^ROUNDDOWN((ROW(INDIRECT("1:"&amp;IF(E45="",10,E45)))-1)/IF(E44="",5,E44),0))/IF(E52="",IF($D$25="",0,$D$25),E52))))&gt;0)*((D12*1.02^(ROW(INDIRECT("1:"&amp;IF(E45="",10,E45)))-1))-(IF(E53&lt;&gt;"",E53,IF($D$27&lt;&gt;"",$D$27,(E42*(1+IF(E43="",0,E43))^ROUNDDOWN((ROW(INDIRECT("1:"&amp;IF(E45="",10,E45)))-1)/IF(E44="",5,E44),0))/IF(E52="",IF($D$25="",0,$D$25),E52))))))*IF(E52="",IF($D$25="",0,$D$25),E52)))</f>
        <v/>
      </c>
      <c r="F61" s="65" t="str">
        <f aca="true">IF(F42="","",SUMPRODUCT(F42*(1+IF(F43="",0,F43))^ROUNDDOWN((ROW(INDIRECT("1:"&amp;IF(F45="",10,F45)))-1)/IF(F44="",5,F44),0))+IF(OR(D12="",IF(F52="",IF($D$25="",0,$D$25),F52)=0),0,SUMPRODUCT(((D12*1.02^(ROW(INDIRECT("1:"&amp;IF(F45="",10,F45)))-1))-(IF(F53&lt;&gt;"",F53,IF($D$27&lt;&gt;"",$D$27,(F42*(1+IF(F43="",0,F43))^ROUNDDOWN((ROW(INDIRECT("1:"&amp;IF(F45="",10,F45)))-1)/IF(F44="",5,F44),0))/IF(F52="",IF($D$25="",0,$D$25),F52))))&gt;0)*((D12*1.02^(ROW(INDIRECT("1:"&amp;IF(F45="",10,F45)))-1))-(IF(F53&lt;&gt;"",F53,IF($D$27&lt;&gt;"",$D$27,(F42*(1+IF(F43="",0,F43))^ROUNDDOWN((ROW(INDIRECT("1:"&amp;IF(F45="",10,F45)))-1)/IF(F44="",5,F44),0))/IF(F52="",IF($D$25="",0,$D$25),F52))))))*IF(F52="",IF($D$25="",0,$D$25),F52)))</f>
        <v/>
      </c>
      <c r="G61" s="65" t="str">
        <f aca="true">IF(G42="","",SUMPRODUCT(G42*(1+IF(G43="",0,G43))^ROUNDDOWN((ROW(INDIRECT("1:"&amp;IF(G45="",10,G45)))-1)/IF(G44="",5,G44),0))+IF(OR(D12="",IF(G52="",IF($D$25="",0,$D$25),G52)=0),0,SUMPRODUCT(((D12*1.02^(ROW(INDIRECT("1:"&amp;IF(G45="",10,G45)))-1))-(IF(G53&lt;&gt;"",G53,IF($D$27&lt;&gt;"",$D$27,(G42*(1+IF(G43="",0,G43))^ROUNDDOWN((ROW(INDIRECT("1:"&amp;IF(G45="",10,G45)))-1)/IF(G44="",5,G44),0))/IF(G52="",IF($D$25="",0,$D$25),G52))))&gt;0)*((D12*1.02^(ROW(INDIRECT("1:"&amp;IF(G45="",10,G45)))-1))-(IF(G53&lt;&gt;"",G53,IF($D$27&lt;&gt;"",$D$27,(G42*(1+IF(G43="",0,G43))^ROUNDDOWN((ROW(INDIRECT("1:"&amp;IF(G45="",10,G45)))-1)/IF(G44="",5,G44),0))/IF(G52="",IF($D$25="",0,$D$25),G52))))))*IF(G52="",IF($D$25="",0,$D$25),G52)))</f>
        <v/>
      </c>
      <c r="H61" s="65" t="str">
        <f aca="true">IF(H42="","",SUMPRODUCT(H42*(1+IF(H43="",0,H43))^ROUNDDOWN((ROW(INDIRECT("1:"&amp;IF(H45="",10,H45)))-1)/IF(H44="",5,H44),0))+IF(OR(D12="",IF(H52="",IF($D$25="",0,$D$25),H52)=0),0,SUMPRODUCT(((D12*1.02^(ROW(INDIRECT("1:"&amp;IF(H45="",10,H45)))-1))-(IF(H53&lt;&gt;"",H53,IF($D$27&lt;&gt;"",$D$27,(H42*(1+IF(H43="",0,H43))^ROUNDDOWN((ROW(INDIRECT("1:"&amp;IF(H45="",10,H45)))-1)/IF(H44="",5,H44),0))/IF(H52="",IF($D$25="",0,$D$25),H52))))&gt;0)*((D12*1.02^(ROW(INDIRECT("1:"&amp;IF(H45="",10,H45)))-1))-(IF(H53&lt;&gt;"",H53,IF($D$27&lt;&gt;"",$D$27,(H42*(1+IF(H43="",0,H43))^ROUNDDOWN((ROW(INDIRECT("1:"&amp;IF(H45="",10,H45)))-1)/IF(H44="",5,H44),0))/IF(H52="",IF($D$25="",0,$D$25),H52))))))*IF(H52="",IF($D$25="",0,$D$25),H52)))</f>
        <v/>
      </c>
    </row>
    <row r="62" customFormat="false" ht="15" hidden="false" customHeight="true" outlineLevel="0" collapsed="false">
      <c r="A62" s="22" t="s">
        <v>374</v>
      </c>
      <c r="B62" s="22"/>
      <c r="C62" s="22"/>
      <c r="D62" s="62" t="n">
        <f aca="false">IF(D42="","",IF(D43="",0,(1+D43)^(5/IF(D44="",5,D44))-1))</f>
        <v>0.02</v>
      </c>
      <c r="E62" s="62" t="str">
        <f aca="false">IF(E42="","",IF(E43="",0,(1+E43)^(5/IF(E44="",5,E44))-1))</f>
        <v/>
      </c>
      <c r="F62" s="62" t="str">
        <f aca="false">IF(F42="","",IF(F43="",0,(1+F43)^(5/IF(F44="",5,F44))-1))</f>
        <v/>
      </c>
      <c r="G62" s="62" t="str">
        <f aca="false">IF(G42="","",IF(G43="",0,(1+G43)^(5/IF(G44="",5,G44))-1))</f>
        <v/>
      </c>
      <c r="H62" s="62" t="str">
        <f aca="false">IF(H42="","",IF(H43="",0,(1+H43)^(5/IF(H44="",5,H44))-1))</f>
        <v/>
      </c>
    </row>
    <row r="63" customFormat="false" ht="43.25" hidden="false" customHeight="true" outlineLevel="0" collapsed="false">
      <c r="A63" s="22" t="s">
        <v>375</v>
      </c>
      <c r="B63" s="22"/>
      <c r="C63" s="22"/>
      <c r="D63" s="66" t="str">
        <f aca="false">IF(D62="","",IF(D62&lt;=0,"REDUCTION / FLAT — ladder steps 1-2 (best)",IF(D62&lt;=0.08,"OK — within 8%/5-yr in-house authority (ladder step 3)","ABOVE 8%/5-yr — CEO SIGN-OFF REQUIRED (Rob 8/5/26)")))</f>
        <v>OK — within 8%/5-yr in-house authority (ladder step 3)</v>
      </c>
      <c r="E63" s="66" t="str">
        <f aca="false">IF(E62="","",IF(E62&lt;=0,"REDUCTION / FLAT — ladder steps 1-2 (best)",IF(E62&lt;=0.08,"OK — within 8%/5-yr in-house authority (ladder step 3)","ABOVE 8%/5-yr — CEO SIGN-OFF REQUIRED (Rob 8/5/26)")))</f>
        <v/>
      </c>
      <c r="F63" s="66" t="str">
        <f aca="false">IF(F62="","",IF(F62&lt;=0,"REDUCTION / FLAT — ladder steps 1-2 (best)",IF(F62&lt;=0.08,"OK — within 8%/5-yr in-house authority (ladder step 3)","ABOVE 8%/5-yr — CEO SIGN-OFF REQUIRED (Rob 8/5/26)")))</f>
        <v/>
      </c>
      <c r="G63" s="66" t="str">
        <f aca="false">IF(G62="","",IF(G62&lt;=0,"REDUCTION / FLAT — ladder steps 1-2 (best)",IF(G62&lt;=0.08,"OK — within 8%/5-yr in-house authority (ladder step 3)","ABOVE 8%/5-yr — CEO SIGN-OFF REQUIRED (Rob 8/5/26)")))</f>
        <v/>
      </c>
      <c r="H63" s="66" t="str">
        <f aca="false">IF(H62="","",IF(H62&lt;=0,"REDUCTION / FLAT — ladder steps 1-2 (best)",IF(H62&lt;=0.08,"OK — within 8%/5-yr in-house authority (ladder step 3)","ABOVE 8%/5-yr — CEO SIGN-OFF REQUIRED (Rob 8/5/26)")))</f>
        <v/>
      </c>
    </row>
    <row r="64" customFormat="false" ht="23.85" hidden="false" customHeight="true" outlineLevel="0" collapsed="false">
      <c r="A64" s="22" t="s">
        <v>376</v>
      </c>
      <c r="B64" s="22"/>
      <c r="C64" s="22"/>
      <c r="D64" s="62" t="str">
        <f aca="false">IF(OR(D42="",D12=""),"",((D42*(1+IF(D43="",0,D43))^ROUNDDOWN(9/IF(D44="",5,D44),0))+IF(IF(D52="",IF($D$25="",0,$D$25),D52)=0,0,MAX(0,D12*1.02^9-IF(D53&lt;&gt;"",D53,IF($D$27&lt;&gt;"",$D$27,(D42*(1+IF(D43="",0,D43))^ROUNDDOWN(9/IF(D44="",5,D44),0))/IF(D52="",IF($D$25="",0,$D$25),D52))))*IF(D52="",IF($D$25="",0,$D$25),D52)))/(D12*1.02^9))</f>
        <v/>
      </c>
      <c r="E64" s="62" t="str">
        <f aca="false">IF(OR(E42="",D12=""),"",((E42*(1+IF(E43="",0,E43))^ROUNDDOWN(9/IF(E44="",5,E44),0))+IF(IF(E52="",IF($D$25="",0,$D$25),E52)=0,0,MAX(0,D12*1.02^9-IF(E53&lt;&gt;"",E53,IF($D$27&lt;&gt;"",$D$27,(E42*(1+IF(E43="",0,E43))^ROUNDDOWN(9/IF(E44="",5,E44),0))/IF(E52="",IF($D$25="",0,$D$25),E52))))*IF(E52="",IF($D$25="",0,$D$25),E52)))/(D12*1.02^9))</f>
        <v/>
      </c>
      <c r="F64" s="62" t="str">
        <f aca="false">IF(OR(F42="",D12=""),"",((F42*(1+IF(F43="",0,F43))^ROUNDDOWN(9/IF(F44="",5,F44),0))+IF(IF(F52="",IF($D$25="",0,$D$25),F52)=0,0,MAX(0,D12*1.02^9-IF(F53&lt;&gt;"",F53,IF($D$27&lt;&gt;"",$D$27,(F42*(1+IF(F43="",0,F43))^ROUNDDOWN(9/IF(F44="",5,F44),0))/IF(F52="",IF($D$25="",0,$D$25),F52))))*IF(F52="",IF($D$25="",0,$D$25),F52)))/(D12*1.02^9))</f>
        <v/>
      </c>
      <c r="G64" s="62" t="str">
        <f aca="false">IF(OR(G42="",D12=""),"",((G42*(1+IF(G43="",0,G43))^ROUNDDOWN(9/IF(G44="",5,G44),0))+IF(IF(G52="",IF($D$25="",0,$D$25),G52)=0,0,MAX(0,D12*1.02^9-IF(G53&lt;&gt;"",G53,IF($D$27&lt;&gt;"",$D$27,(G42*(1+IF(G43="",0,G43))^ROUNDDOWN(9/IF(G44="",5,G44),0))/IF(G52="",IF($D$25="",0,$D$25),G52))))*IF(G52="",IF($D$25="",0,$D$25),G52)))/(D12*1.02^9))</f>
        <v/>
      </c>
      <c r="H64" s="62" t="str">
        <f aca="false">IF(OR(H42="",D12=""),"",((H42*(1+IF(H43="",0,H43))^ROUNDDOWN(9/IF(H44="",5,H44),0))+IF(IF(H52="",IF($D$25="",0,$D$25),H52)=0,0,MAX(0,D12*1.02^9-IF(H53&lt;&gt;"",H53,IF($D$27&lt;&gt;"",$D$27,(H42*(1+IF(H43="",0,H43))^ROUNDDOWN(9/IF(H44="",5,H44),0))/IF(H52="",IF($D$25="",0,$D$25),H52))))*IF(H52="",IF($D$25="",0,$D$25),H52)))/(D12*1.02^9))</f>
        <v/>
      </c>
    </row>
    <row r="65" customFormat="false" ht="23.85" hidden="false" customHeight="true" outlineLevel="0" collapsed="false">
      <c r="A65" s="22" t="s">
        <v>377</v>
      </c>
      <c r="B65" s="22"/>
      <c r="C65" s="22"/>
      <c r="D65" s="66" t="str">
        <f aca="false">IF(OR(D64="",D57=""),"",IF(MAX(D57,D64)&gt;=0.08,"HARD STOP — occupancy at/above 8% of sales: STOP, CEO sign-off before responding",IF(MAX(D57,D64)&gt;0.07,"Above Kim 7% alert — approaching 8% hard stop","OK — under 7% alert")))</f>
        <v/>
      </c>
      <c r="E65" s="66" t="str">
        <f aca="false">IF(OR(E64="",E57=""),"",IF(MAX(E57,E64)&gt;=0.08,"HARD STOP — occupancy at/above 8% of sales: STOP, CEO sign-off before responding",IF(MAX(E57,E64)&gt;0.07,"Above Kim 7% alert — approaching 8% hard stop","OK — under 7% alert")))</f>
        <v/>
      </c>
      <c r="F65" s="66" t="str">
        <f aca="false">IF(OR(F64="",F57=""),"",IF(MAX(F57,F64)&gt;=0.08,"HARD STOP — occupancy at/above 8% of sales: STOP, CEO sign-off before responding",IF(MAX(F57,F64)&gt;0.07,"Above Kim 7% alert — approaching 8% hard stop","OK — under 7% alert")))</f>
        <v/>
      </c>
      <c r="G65" s="66" t="str">
        <f aca="false">IF(OR(G64="",G57=""),"",IF(MAX(G57,G64)&gt;=0.08,"HARD STOP — occupancy at/above 8% of sales: STOP, CEO sign-off before responding",IF(MAX(G57,G64)&gt;0.07,"Above Kim 7% alert — approaching 8% hard stop","OK — under 7% alert")))</f>
        <v/>
      </c>
      <c r="H65" s="66" t="str">
        <f aca="false">IF(OR(H64="",H57=""),"",IF(MAX(H57,H64)&gt;=0.08,"HARD STOP — occupancy at/above 8% of sales: STOP, CEO sign-off before responding",IF(MAX(H57,H64)&gt;0.07,"Above Kim 7% alert — approaching 8% hard stop","OK — under 7% alert")))</f>
        <v/>
      </c>
    </row>
    <row r="67" customFormat="false" ht="22.35" hidden="false" customHeight="true" outlineLevel="0" collapsed="false">
      <c r="A67" s="68" t="s">
        <v>379</v>
      </c>
      <c r="B67" s="68"/>
      <c r="C67" s="68"/>
      <c r="D67" s="68"/>
      <c r="E67" s="68"/>
      <c r="F67" s="68"/>
      <c r="G67" s="68"/>
      <c r="H67" s="68"/>
      <c r="I67" s="68"/>
      <c r="J67" s="68"/>
    </row>
    <row r="69" customFormat="false" ht="15" hidden="false" customHeight="false" outlineLevel="0" collapsed="false">
      <c r="A69" s="69" t="s">
        <v>380</v>
      </c>
      <c r="B69" s="69"/>
      <c r="C69" s="69"/>
      <c r="D69" s="69"/>
      <c r="E69" s="69"/>
      <c r="F69" s="69"/>
      <c r="G69" s="69"/>
      <c r="H69" s="69"/>
      <c r="I69" s="69"/>
      <c r="J69" s="69"/>
    </row>
  </sheetData>
  <mergeCells count="63">
    <mergeCell ref="A2:J2"/>
    <mergeCell ref="A3:J3"/>
    <mergeCell ref="A4:J4"/>
    <mergeCell ref="A5:J5"/>
    <mergeCell ref="A6:J6"/>
    <mergeCell ref="A7:J7"/>
    <mergeCell ref="A9:C9"/>
    <mergeCell ref="D9:J9"/>
    <mergeCell ref="A10:C10"/>
    <mergeCell ref="D10:J10"/>
    <mergeCell ref="A11:C11"/>
    <mergeCell ref="D11:J11"/>
    <mergeCell ref="A12:C12"/>
    <mergeCell ref="D12:J12"/>
    <mergeCell ref="A13:C13"/>
    <mergeCell ref="D13:J13"/>
    <mergeCell ref="G16:J16"/>
    <mergeCell ref="G17:J17"/>
    <mergeCell ref="G18:J18"/>
    <mergeCell ref="G19:J19"/>
    <mergeCell ref="A20:D20"/>
    <mergeCell ref="A21:J21"/>
    <mergeCell ref="A25:C25"/>
    <mergeCell ref="E25:J25"/>
    <mergeCell ref="A26:C26"/>
    <mergeCell ref="E26:J26"/>
    <mergeCell ref="A27:C27"/>
    <mergeCell ref="E27:J27"/>
    <mergeCell ref="A28:C28"/>
    <mergeCell ref="E28:J28"/>
    <mergeCell ref="A29:C29"/>
    <mergeCell ref="A30:C30"/>
    <mergeCell ref="A31:C31"/>
    <mergeCell ref="A32:C32"/>
    <mergeCell ref="A37:G37"/>
    <mergeCell ref="A40:C40"/>
    <mergeCell ref="A41:C41"/>
    <mergeCell ref="A42:C42"/>
    <mergeCell ref="A43:C43"/>
    <mergeCell ref="A44:C44"/>
    <mergeCell ref="A45:C45"/>
    <mergeCell ref="A46:C46"/>
    <mergeCell ref="A47:C47"/>
    <mergeCell ref="A48:C48"/>
    <mergeCell ref="A49:C49"/>
    <mergeCell ref="A50:C50"/>
    <mergeCell ref="A51:C51"/>
    <mergeCell ref="A52:C52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2:C62"/>
    <mergeCell ref="A63:C63"/>
    <mergeCell ref="A64:C64"/>
    <mergeCell ref="A65:C65"/>
    <mergeCell ref="A67:J67"/>
    <mergeCell ref="A69:J69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T10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6"/>
    <col collapsed="false" customWidth="true" hidden="false" outlineLevel="0" max="2" min="2" style="0" width="22"/>
    <col collapsed="false" customWidth="true" hidden="false" outlineLevel="0" max="3" min="3" style="0" width="11"/>
    <col collapsed="false" customWidth="true" hidden="false" outlineLevel="0" max="4" min="4" style="0" width="14"/>
    <col collapsed="false" customWidth="true" hidden="false" outlineLevel="0" max="6" min="5" style="0" width="12"/>
    <col collapsed="false" customWidth="true" hidden="false" outlineLevel="0" max="7" min="7" style="0" width="14"/>
    <col collapsed="false" customWidth="true" hidden="false" outlineLevel="0" max="9" min="8" style="0" width="13"/>
    <col collapsed="false" customWidth="true" hidden="false" outlineLevel="0" max="10" min="10" style="0" width="26"/>
  </cols>
  <sheetData>
    <row r="1" customFormat="false" ht="16.15" hidden="false" customHeight="false" outlineLevel="0" collapsed="false">
      <c r="A1" s="3" t="s">
        <v>875</v>
      </c>
    </row>
    <row r="2" customFormat="false" ht="25.5" hidden="false" customHeight="true" outlineLevel="0" collapsed="false">
      <c r="A2" s="12" t="s">
        <v>251</v>
      </c>
      <c r="B2" s="12"/>
      <c r="C2" s="12"/>
      <c r="D2" s="12"/>
      <c r="E2" s="12"/>
      <c r="F2" s="12"/>
      <c r="G2" s="12"/>
      <c r="H2" s="12"/>
      <c r="I2" s="12"/>
      <c r="J2" s="12"/>
    </row>
    <row r="3" customFormat="false" ht="15" hidden="false" customHeight="true" outlineLevel="0" collapsed="false">
      <c r="A3" s="16" t="s">
        <v>876</v>
      </c>
      <c r="B3" s="16"/>
      <c r="C3" s="16"/>
      <c r="D3" s="16"/>
      <c r="E3" s="16"/>
      <c r="F3" s="16"/>
      <c r="G3" s="16"/>
      <c r="H3" s="16"/>
      <c r="I3" s="16"/>
      <c r="J3" s="16"/>
    </row>
    <row r="4" customFormat="false" ht="30" hidden="false" customHeight="true" outlineLevel="0" collapsed="false">
      <c r="A4" s="17" t="s">
        <v>96</v>
      </c>
      <c r="B4" s="17"/>
      <c r="C4" s="17"/>
      <c r="D4" s="17"/>
      <c r="E4" s="17"/>
      <c r="F4" s="17"/>
      <c r="G4" s="17"/>
      <c r="H4" s="17"/>
      <c r="I4" s="17"/>
      <c r="J4" s="17"/>
    </row>
    <row r="5" customFormat="false" ht="15" hidden="false" customHeight="true" outlineLevel="0" collapsed="false">
      <c r="A5" s="18" t="s">
        <v>17</v>
      </c>
      <c r="B5" s="18"/>
      <c r="C5" s="18"/>
      <c r="D5" s="18"/>
      <c r="E5" s="18"/>
      <c r="F5" s="18"/>
      <c r="G5" s="18"/>
      <c r="H5" s="18"/>
      <c r="I5" s="18"/>
      <c r="J5" s="18"/>
    </row>
    <row r="6" customFormat="false" ht="15" hidden="false" customHeight="true" outlineLevel="0" collapsed="false">
      <c r="A6" s="19" t="s">
        <v>97</v>
      </c>
      <c r="B6" s="19"/>
      <c r="C6" s="19"/>
      <c r="D6" s="19"/>
      <c r="E6" s="19"/>
      <c r="F6" s="19"/>
      <c r="G6" s="19"/>
      <c r="H6" s="19"/>
      <c r="I6" s="19"/>
      <c r="J6" s="19"/>
    </row>
    <row r="7" customFormat="false" ht="23.85" hidden="false" customHeight="true" outlineLevel="0" collapsed="false">
      <c r="A7" s="20" t="s">
        <v>877</v>
      </c>
      <c r="B7" s="20"/>
      <c r="C7" s="20"/>
      <c r="D7" s="20"/>
      <c r="E7" s="20"/>
      <c r="F7" s="20"/>
      <c r="G7" s="20"/>
      <c r="H7" s="20"/>
      <c r="I7" s="20"/>
      <c r="J7" s="20"/>
    </row>
    <row r="8" customFormat="false" ht="15" hidden="false" customHeight="true" outlineLevel="0" collapsed="false">
      <c r="A8" s="21" t="s">
        <v>254</v>
      </c>
      <c r="B8" s="21"/>
      <c r="C8" s="21"/>
      <c r="D8" s="21"/>
      <c r="E8" s="21"/>
      <c r="F8" s="21"/>
      <c r="G8" s="21"/>
      <c r="H8" s="21"/>
      <c r="I8" s="21"/>
      <c r="J8" s="21"/>
    </row>
    <row r="10" customFormat="false" ht="15" hidden="false" customHeight="true" outlineLevel="0" collapsed="false">
      <c r="A10" s="22" t="s">
        <v>255</v>
      </c>
      <c r="B10" s="22"/>
      <c r="C10" s="22"/>
      <c r="D10" s="23" t="s">
        <v>878</v>
      </c>
      <c r="E10" s="23"/>
      <c r="F10" s="23"/>
      <c r="G10" s="23"/>
      <c r="H10" s="23"/>
      <c r="I10" s="23"/>
      <c r="J10" s="23"/>
    </row>
    <row r="11" customFormat="false" ht="15" hidden="false" customHeight="true" outlineLevel="0" collapsed="false">
      <c r="A11" s="22" t="s">
        <v>257</v>
      </c>
      <c r="B11" s="22"/>
      <c r="C11" s="22"/>
      <c r="D11" s="23" t="s">
        <v>879</v>
      </c>
      <c r="E11" s="23"/>
      <c r="F11" s="23"/>
      <c r="G11" s="23"/>
      <c r="H11" s="23"/>
      <c r="I11" s="23"/>
      <c r="J11" s="23"/>
    </row>
    <row r="12" customFormat="false" ht="15" hidden="false" customHeight="true" outlineLevel="0" collapsed="false">
      <c r="A12" s="22" t="s">
        <v>259</v>
      </c>
      <c r="B12" s="22"/>
      <c r="C12" s="22"/>
      <c r="D12" s="86"/>
      <c r="E12" s="86"/>
      <c r="F12" s="86"/>
      <c r="G12" s="86"/>
      <c r="H12" s="86"/>
      <c r="I12" s="86"/>
      <c r="J12" s="86"/>
    </row>
    <row r="13" customFormat="false" ht="15" hidden="false" customHeight="true" outlineLevel="0" collapsed="false">
      <c r="A13" s="22" t="s">
        <v>261</v>
      </c>
      <c r="B13" s="22"/>
      <c r="C13" s="22"/>
      <c r="D13" s="24" t="n">
        <v>3496000</v>
      </c>
      <c r="E13" s="24"/>
      <c r="F13" s="24"/>
      <c r="G13" s="24"/>
      <c r="H13" s="24"/>
      <c r="I13" s="24"/>
      <c r="J13" s="24"/>
    </row>
    <row r="14" customFormat="false" ht="23.85" hidden="false" customHeight="true" outlineLevel="0" collapsed="false">
      <c r="A14" s="22" t="s">
        <v>262</v>
      </c>
      <c r="B14" s="22"/>
      <c r="C14" s="22"/>
      <c r="D14" s="22" t="s">
        <v>880</v>
      </c>
      <c r="E14" s="22"/>
      <c r="F14" s="22"/>
      <c r="G14" s="22"/>
      <c r="H14" s="22"/>
      <c r="I14" s="22"/>
      <c r="J14" s="22"/>
    </row>
    <row r="16" customFormat="false" ht="15" hidden="false" customHeight="false" outlineLevel="0" collapsed="false">
      <c r="A16" s="25" t="s">
        <v>264</v>
      </c>
    </row>
    <row r="17" customFormat="false" ht="22.35" hidden="false" customHeight="true" outlineLevel="0" collapsed="false">
      <c r="A17" s="26" t="s">
        <v>265</v>
      </c>
      <c r="B17" s="26" t="s">
        <v>266</v>
      </c>
      <c r="C17" s="26" t="s">
        <v>267</v>
      </c>
      <c r="D17" s="26" t="s">
        <v>268</v>
      </c>
      <c r="E17" s="26" t="s">
        <v>269</v>
      </c>
      <c r="F17" s="26" t="s">
        <v>270</v>
      </c>
      <c r="G17" s="26" t="s">
        <v>271</v>
      </c>
      <c r="H17" s="26"/>
      <c r="I17" s="26"/>
      <c r="J17" s="26"/>
    </row>
    <row r="18" customFormat="false" ht="19.4" hidden="false" customHeight="true" outlineLevel="0" collapsed="false">
      <c r="A18" s="27" t="s">
        <v>536</v>
      </c>
      <c r="B18" s="28" t="s">
        <v>881</v>
      </c>
      <c r="C18" s="28" t="s">
        <v>882</v>
      </c>
      <c r="D18" s="29" t="n">
        <v>8916.66</v>
      </c>
      <c r="E18" s="30" t="n">
        <f aca="false">IF(D18="","",D18*12)</f>
        <v>106999.92</v>
      </c>
      <c r="F18" s="31" t="n">
        <v>0.3</v>
      </c>
      <c r="G18" s="32" t="s">
        <v>883</v>
      </c>
      <c r="H18" s="32"/>
      <c r="I18" s="32"/>
      <c r="J18" s="32"/>
    </row>
    <row r="19" customFormat="false" ht="15" hidden="false" customHeight="true" outlineLevel="0" collapsed="false">
      <c r="A19" s="27" t="s">
        <v>884</v>
      </c>
      <c r="B19" s="28" t="s">
        <v>885</v>
      </c>
      <c r="C19" s="28" t="s">
        <v>886</v>
      </c>
      <c r="D19" s="80" t="n">
        <v>10000</v>
      </c>
      <c r="E19" s="30" t="n">
        <f aca="false">IF(D19="","",D19*12)</f>
        <v>120000</v>
      </c>
      <c r="F19" s="31" t="n">
        <v>5</v>
      </c>
      <c r="G19" s="32" t="s">
        <v>887</v>
      </c>
      <c r="H19" s="32"/>
      <c r="I19" s="32"/>
      <c r="J19" s="32"/>
    </row>
    <row r="20" customFormat="false" ht="15" hidden="false" customHeight="true" outlineLevel="0" collapsed="false">
      <c r="A20" s="27" t="s">
        <v>655</v>
      </c>
      <c r="B20" s="28" t="s">
        <v>888</v>
      </c>
      <c r="C20" s="28" t="s">
        <v>889</v>
      </c>
      <c r="D20" s="80" t="n">
        <v>10833.33</v>
      </c>
      <c r="E20" s="30" t="n">
        <f aca="false">IF(D20="","",D20*12)</f>
        <v>129999.96</v>
      </c>
      <c r="F20" s="31" t="n">
        <v>4.7</v>
      </c>
      <c r="G20" s="32" t="s">
        <v>890</v>
      </c>
      <c r="H20" s="32"/>
      <c r="I20" s="32"/>
      <c r="J20" s="32"/>
    </row>
    <row r="21" customFormat="false" ht="15" hidden="false" customHeight="false" outlineLevel="0" collapsed="false">
      <c r="A21" s="34" t="s">
        <v>284</v>
      </c>
      <c r="B21" s="34"/>
      <c r="C21" s="34"/>
      <c r="D21" s="34"/>
      <c r="E21" s="35" t="n">
        <f aca="false">IF(SUMPRODUCT(E18:E20,F18:F20)=0,"",SUMPRODUCT(E18:E20,F18:F20))</f>
        <v>1243099.788</v>
      </c>
      <c r="F21" s="36"/>
      <c r="G21" s="36"/>
      <c r="H21" s="36"/>
      <c r="I21" s="36"/>
      <c r="J21" s="36"/>
    </row>
    <row r="22" customFormat="false" ht="15" hidden="false" customHeight="false" outlineLevel="0" collapsed="false">
      <c r="A22" s="81" t="s">
        <v>891</v>
      </c>
      <c r="B22" s="81"/>
      <c r="C22" s="81"/>
      <c r="D22" s="81"/>
      <c r="E22" s="81"/>
      <c r="F22" s="81"/>
      <c r="G22" s="81"/>
      <c r="H22" s="81"/>
      <c r="I22" s="81"/>
      <c r="J22" s="81"/>
    </row>
    <row r="24" customFormat="false" ht="15" hidden="false" customHeight="false" outlineLevel="0" collapsed="false">
      <c r="A24" s="25" t="s">
        <v>286</v>
      </c>
    </row>
    <row r="25" customFormat="false" ht="15" hidden="false" customHeight="true" outlineLevel="0" collapsed="false">
      <c r="A25" s="22" t="s">
        <v>287</v>
      </c>
      <c r="B25" s="22"/>
      <c r="C25" s="22"/>
      <c r="D25" s="35" t="n">
        <v>106999.92</v>
      </c>
      <c r="E25" s="36"/>
      <c r="F25" s="36"/>
      <c r="G25" s="36"/>
      <c r="H25" s="36"/>
      <c r="I25" s="36"/>
      <c r="J25" s="36"/>
    </row>
    <row r="26" customFormat="false" ht="15" hidden="false" customHeight="true" outlineLevel="0" collapsed="false">
      <c r="A26" s="22" t="s">
        <v>288</v>
      </c>
      <c r="B26" s="22"/>
      <c r="C26" s="22"/>
      <c r="D26" s="38" t="n">
        <v>0.0306063844393593</v>
      </c>
      <c r="E26" s="39" t="s">
        <v>289</v>
      </c>
      <c r="F26" s="39"/>
      <c r="G26" s="39"/>
      <c r="H26" s="39"/>
      <c r="I26" s="39"/>
      <c r="J26" s="39"/>
    </row>
    <row r="27" customFormat="false" ht="15" hidden="false" customHeight="true" outlineLevel="0" collapsed="false">
      <c r="A27" s="22" t="s">
        <v>892</v>
      </c>
      <c r="B27" s="22"/>
      <c r="C27" s="22"/>
      <c r="D27" s="35" t="n">
        <v>22750</v>
      </c>
      <c r="E27" s="39" t="s">
        <v>291</v>
      </c>
      <c r="F27" s="39"/>
      <c r="G27" s="39"/>
      <c r="H27" s="39"/>
      <c r="I27" s="39"/>
      <c r="J27" s="39"/>
    </row>
    <row r="28" customFormat="false" ht="15" hidden="false" customHeight="true" outlineLevel="0" collapsed="false">
      <c r="A28" s="22" t="s">
        <v>292</v>
      </c>
      <c r="B28" s="22"/>
      <c r="C28" s="22"/>
      <c r="D28" s="35" t="n">
        <v>0</v>
      </c>
      <c r="E28" s="36"/>
      <c r="F28" s="36"/>
      <c r="G28" s="36"/>
      <c r="H28" s="36"/>
      <c r="I28" s="36"/>
      <c r="J28" s="36"/>
    </row>
    <row r="29" customFormat="false" ht="15" hidden="false" customHeight="true" outlineLevel="0" collapsed="false">
      <c r="A29" s="22" t="s">
        <v>293</v>
      </c>
      <c r="B29" s="22"/>
      <c r="C29" s="22"/>
      <c r="D29" s="35" t="n">
        <v>129749.92</v>
      </c>
      <c r="E29" s="36"/>
      <c r="F29" s="36"/>
      <c r="G29" s="36"/>
      <c r="H29" s="36"/>
      <c r="I29" s="36"/>
      <c r="J29" s="36"/>
    </row>
    <row r="30" customFormat="false" ht="15" hidden="false" customHeight="true" outlineLevel="0" collapsed="false">
      <c r="A30" s="22" t="s">
        <v>294</v>
      </c>
      <c r="B30" s="22"/>
      <c r="C30" s="22"/>
      <c r="D30" s="38" t="n">
        <v>0.0371138215102975</v>
      </c>
      <c r="E30" s="39" t="s">
        <v>295</v>
      </c>
      <c r="F30" s="39"/>
      <c r="G30" s="39"/>
      <c r="H30" s="39"/>
      <c r="I30" s="39"/>
      <c r="J30" s="39"/>
    </row>
    <row r="31" customFormat="false" ht="27.75" hidden="false" customHeight="true" outlineLevel="0" collapsed="false">
      <c r="A31" s="40" t="s">
        <v>893</v>
      </c>
      <c r="B31" s="40"/>
      <c r="C31" s="40"/>
      <c r="D31" s="40"/>
      <c r="E31" s="40"/>
      <c r="F31" s="40"/>
      <c r="G31" s="40"/>
      <c r="H31" s="40"/>
      <c r="I31" s="40"/>
      <c r="J31" s="40"/>
    </row>
    <row r="32" customFormat="false" ht="15" hidden="false" customHeight="false" outlineLevel="0" collapsed="false">
      <c r="A32" s="41" t="s">
        <v>894</v>
      </c>
      <c r="B32" s="41"/>
      <c r="C32" s="41"/>
      <c r="D32" s="41"/>
      <c r="E32" s="41"/>
      <c r="F32" s="41"/>
      <c r="G32" s="41"/>
      <c r="H32" s="41"/>
      <c r="I32" s="41"/>
      <c r="J32" s="41"/>
    </row>
    <row r="34" customFormat="false" ht="15" hidden="false" customHeight="false" outlineLevel="0" collapsed="false">
      <c r="A34" s="25" t="s">
        <v>298</v>
      </c>
    </row>
    <row r="35" customFormat="false" ht="15" hidden="false" customHeight="true" outlineLevel="0" collapsed="false">
      <c r="A35" s="22" t="s">
        <v>299</v>
      </c>
      <c r="B35" s="22"/>
      <c r="C35" s="22"/>
      <c r="D35" s="42" t="n">
        <v>0</v>
      </c>
      <c r="E35" s="43" t="s">
        <v>300</v>
      </c>
      <c r="F35" s="43"/>
      <c r="G35" s="43"/>
      <c r="H35" s="43"/>
      <c r="I35" s="43"/>
      <c r="J35" s="43"/>
    </row>
    <row r="36" customFormat="false" ht="15" hidden="false" customHeight="true" outlineLevel="0" collapsed="false">
      <c r="A36" s="22" t="s">
        <v>301</v>
      </c>
      <c r="B36" s="22"/>
      <c r="C36" s="22"/>
      <c r="D36" s="34" t="s">
        <v>302</v>
      </c>
      <c r="E36" s="43" t="s">
        <v>303</v>
      </c>
      <c r="F36" s="43"/>
      <c r="G36" s="43"/>
      <c r="H36" s="43"/>
      <c r="I36" s="43"/>
      <c r="J36" s="43"/>
    </row>
    <row r="37" customFormat="false" ht="15" hidden="false" customHeight="true" outlineLevel="0" collapsed="false">
      <c r="A37" s="22" t="s">
        <v>304</v>
      </c>
      <c r="B37" s="22"/>
      <c r="C37" s="22"/>
      <c r="D37" s="44"/>
      <c r="E37" s="43" t="s">
        <v>305</v>
      </c>
      <c r="F37" s="43"/>
      <c r="G37" s="43"/>
      <c r="H37" s="43"/>
      <c r="I37" s="43"/>
      <c r="J37" s="43"/>
    </row>
    <row r="38" customFormat="false" ht="23.85" hidden="false" customHeight="true" outlineLevel="0" collapsed="false">
      <c r="A38" s="22" t="s">
        <v>306</v>
      </c>
      <c r="B38" s="22"/>
      <c r="C38" s="22"/>
      <c r="D38" s="45" t="str">
        <f aca="false">IF(OR($D$35="",E18=""),"",IF($D$35=0,"— (no % rent)",E18/$D$35))</f>
        <v>— (no % rent)</v>
      </c>
      <c r="E38" s="43" t="s">
        <v>307</v>
      </c>
      <c r="F38" s="43"/>
      <c r="G38" s="43"/>
      <c r="H38" s="43"/>
      <c r="I38" s="43"/>
      <c r="J38" s="43"/>
    </row>
    <row r="39" customFormat="false" ht="23.85" hidden="false" customHeight="true" outlineLevel="0" collapsed="false">
      <c r="A39" s="22" t="s">
        <v>308</v>
      </c>
      <c r="B39" s="22"/>
      <c r="C39" s="22"/>
      <c r="D39" s="45" t="str">
        <f aca="false">IF($D$35="","",IF($D$35=0,"— (no % rent)",IF($D$37&lt;&gt;"",$D$37,IF(E18="","",E18/$D$35))))</f>
        <v>— (no % rent)</v>
      </c>
      <c r="E39" s="36"/>
      <c r="F39" s="36"/>
      <c r="G39" s="36"/>
      <c r="H39" s="36"/>
      <c r="I39" s="36"/>
      <c r="J39" s="36"/>
    </row>
    <row r="40" customFormat="false" ht="15" hidden="false" customHeight="true" outlineLevel="0" collapsed="false">
      <c r="A40" s="22" t="s">
        <v>309</v>
      </c>
      <c r="B40" s="22"/>
      <c r="C40" s="22"/>
      <c r="D40" s="45" t="n">
        <f aca="false">IF(OR($D$35="",D13=""),"",IF($D$35=0,0,IF($D$39="","",MAX(0,D13-$D$39)*$D$35)))</f>
        <v>0</v>
      </c>
      <c r="E40" s="36"/>
      <c r="F40" s="36"/>
      <c r="G40" s="36"/>
      <c r="H40" s="36"/>
      <c r="I40" s="36"/>
      <c r="J40" s="36"/>
    </row>
    <row r="41" customFormat="false" ht="15" hidden="false" customHeight="true" outlineLevel="0" collapsed="false">
      <c r="A41" s="22" t="s">
        <v>310</v>
      </c>
      <c r="B41" s="22"/>
      <c r="C41" s="22"/>
      <c r="D41" s="45" t="n">
        <f aca="false">IF(OR(D40="",E18=""),"",E18+D40)</f>
        <v>106999.92</v>
      </c>
      <c r="E41" s="36"/>
      <c r="F41" s="36"/>
      <c r="G41" s="36"/>
      <c r="H41" s="36"/>
      <c r="I41" s="36"/>
      <c r="J41" s="36"/>
    </row>
    <row r="42" customFormat="false" ht="15" hidden="false" customHeight="true" outlineLevel="0" collapsed="false">
      <c r="A42" s="22" t="s">
        <v>311</v>
      </c>
      <c r="B42" s="22"/>
      <c r="C42" s="22"/>
      <c r="D42" s="46" t="n">
        <f aca="false">IF(OR(D41="",D13=""),"",D41/D13)</f>
        <v>0.0306063844393593</v>
      </c>
      <c r="E42" s="36"/>
      <c r="F42" s="36"/>
      <c r="G42" s="36"/>
      <c r="H42" s="36"/>
      <c r="I42" s="36"/>
      <c r="J42" s="36"/>
    </row>
    <row r="44" customFormat="false" ht="15" hidden="false" customHeight="false" outlineLevel="0" collapsed="false">
      <c r="A44" s="25" t="s">
        <v>312</v>
      </c>
    </row>
    <row r="45" customFormat="false" ht="22.35" hidden="false" customHeight="false" outlineLevel="0" collapsed="false">
      <c r="A45" s="26" t="s">
        <v>313</v>
      </c>
      <c r="B45" s="26" t="s">
        <v>314</v>
      </c>
      <c r="C45" s="26" t="s">
        <v>315</v>
      </c>
      <c r="D45" s="26" t="s">
        <v>316</v>
      </c>
      <c r="E45" s="26" t="s">
        <v>317</v>
      </c>
      <c r="F45" s="26" t="s">
        <v>318</v>
      </c>
      <c r="G45" s="26" t="s">
        <v>319</v>
      </c>
      <c r="H45" s="26" t="s">
        <v>269</v>
      </c>
      <c r="I45" s="26" t="s">
        <v>320</v>
      </c>
      <c r="J45" s="26" t="s">
        <v>321</v>
      </c>
    </row>
    <row r="46" customFormat="false" ht="22.35" hidden="false" customHeight="false" outlineLevel="0" collapsed="false">
      <c r="A46" s="47" t="s">
        <v>895</v>
      </c>
      <c r="B46" s="47" t="s">
        <v>896</v>
      </c>
      <c r="C46" s="47" t="s">
        <v>207</v>
      </c>
      <c r="D46" s="47" t="s">
        <v>571</v>
      </c>
      <c r="E46" s="48"/>
      <c r="F46" s="47" t="s">
        <v>235</v>
      </c>
      <c r="G46" s="47" t="s">
        <v>897</v>
      </c>
      <c r="H46" s="49" t="n">
        <v>250000</v>
      </c>
      <c r="I46" s="47" t="s">
        <v>334</v>
      </c>
      <c r="J46" s="47" t="s">
        <v>898</v>
      </c>
    </row>
    <row r="47" customFormat="false" ht="22.35" hidden="false" customHeight="false" outlineLevel="0" collapsed="false">
      <c r="A47" s="47" t="s">
        <v>899</v>
      </c>
      <c r="B47" s="47" t="s">
        <v>896</v>
      </c>
      <c r="C47" s="47" t="s">
        <v>207</v>
      </c>
      <c r="D47" s="47" t="s">
        <v>571</v>
      </c>
      <c r="E47" s="48"/>
      <c r="F47" s="47" t="s">
        <v>900</v>
      </c>
      <c r="G47" s="47" t="s">
        <v>897</v>
      </c>
      <c r="H47" s="49" t="n">
        <v>150000</v>
      </c>
      <c r="I47" s="47" t="s">
        <v>334</v>
      </c>
      <c r="J47" s="47" t="s">
        <v>901</v>
      </c>
    </row>
    <row r="48" customFormat="false" ht="22.35" hidden="false" customHeight="false" outlineLevel="0" collapsed="false">
      <c r="A48" s="47" t="s">
        <v>241</v>
      </c>
      <c r="B48" s="47" t="s">
        <v>902</v>
      </c>
      <c r="C48" s="47" t="s">
        <v>207</v>
      </c>
      <c r="D48" s="47" t="s">
        <v>571</v>
      </c>
      <c r="E48" s="48"/>
      <c r="F48" s="47" t="s">
        <v>243</v>
      </c>
      <c r="G48" s="47" t="s">
        <v>848</v>
      </c>
      <c r="H48" s="49" t="n">
        <v>185000</v>
      </c>
      <c r="I48" s="47" t="s">
        <v>334</v>
      </c>
      <c r="J48" s="47" t="s">
        <v>903</v>
      </c>
    </row>
    <row r="49" customFormat="false" ht="15" hidden="false" customHeight="false" outlineLevel="0" collapsed="false">
      <c r="A49" s="52" t="s">
        <v>344</v>
      </c>
      <c r="B49" s="52"/>
      <c r="C49" s="52"/>
      <c r="D49" s="52"/>
      <c r="E49" s="52"/>
      <c r="F49" s="52"/>
      <c r="G49" s="52"/>
      <c r="H49" s="53" t="n">
        <f aca="false">IF(COUNT(H46:H48)=0,"",AVERAGE(H46:H48))</f>
        <v>195000</v>
      </c>
      <c r="I49" s="52" t="str">
        <f aca="false">IF(COUNT(H46:H48)=0,"",TEXT(MIN(H46:H48),"$#,##0")&amp;" – "&amp;TEXT(MAX(H46:H48),"$#,##0"))</f>
        <v>$150,000 – $250,000</v>
      </c>
      <c r="J49" s="36"/>
    </row>
    <row r="51" customFormat="false" ht="15" hidden="false" customHeight="false" outlineLevel="0" collapsed="false">
      <c r="A51" s="25" t="s">
        <v>345</v>
      </c>
    </row>
    <row r="52" customFormat="false" ht="53.7" hidden="false" customHeight="true" outlineLevel="0" collapsed="false">
      <c r="A52" s="26" t="s">
        <v>346</v>
      </c>
      <c r="B52" s="26"/>
      <c r="C52" s="26"/>
      <c r="D52" s="26" t="s">
        <v>347</v>
      </c>
      <c r="E52" s="26" t="s">
        <v>348</v>
      </c>
      <c r="F52" s="26" t="s">
        <v>349</v>
      </c>
      <c r="G52" s="26" t="s">
        <v>350</v>
      </c>
      <c r="H52" s="54" t="s">
        <v>351</v>
      </c>
    </row>
    <row r="53" customFormat="false" ht="68.65" hidden="false" customHeight="true" outlineLevel="0" collapsed="false">
      <c r="A53" s="22" t="s">
        <v>352</v>
      </c>
      <c r="B53" s="22"/>
      <c r="C53" s="22"/>
      <c r="D53" s="55" t="s">
        <v>353</v>
      </c>
      <c r="E53" s="56"/>
      <c r="F53" s="56"/>
      <c r="G53" s="56"/>
      <c r="H53" s="56"/>
    </row>
    <row r="54" customFormat="false" ht="15" hidden="false" customHeight="true" outlineLevel="0" collapsed="false">
      <c r="A54" s="22" t="s">
        <v>354</v>
      </c>
      <c r="B54" s="22"/>
      <c r="C54" s="22"/>
      <c r="D54" s="57" t="n">
        <v>107000</v>
      </c>
      <c r="E54" s="57"/>
      <c r="F54" s="57"/>
      <c r="G54" s="57"/>
      <c r="H54" s="57"/>
    </row>
    <row r="55" customFormat="false" ht="15" hidden="false" customHeight="true" outlineLevel="0" collapsed="false">
      <c r="A55" s="22" t="s">
        <v>355</v>
      </c>
      <c r="B55" s="22"/>
      <c r="C55" s="22"/>
      <c r="D55" s="82" t="n">
        <v>0.02</v>
      </c>
      <c r="E55" s="58"/>
      <c r="F55" s="58"/>
      <c r="G55" s="58"/>
      <c r="H55" s="58"/>
    </row>
    <row r="56" customFormat="false" ht="15" hidden="false" customHeight="true" outlineLevel="0" collapsed="false">
      <c r="A56" s="22" t="s">
        <v>356</v>
      </c>
      <c r="B56" s="22"/>
      <c r="C56" s="22"/>
      <c r="D56" s="56" t="n">
        <v>5</v>
      </c>
      <c r="E56" s="56"/>
      <c r="F56" s="56"/>
      <c r="G56" s="56"/>
      <c r="H56" s="56"/>
    </row>
    <row r="57" customFormat="false" ht="15" hidden="false" customHeight="true" outlineLevel="0" collapsed="false">
      <c r="A57" s="22" t="s">
        <v>357</v>
      </c>
      <c r="B57" s="22"/>
      <c r="C57" s="22"/>
      <c r="D57" s="59" t="n">
        <v>20</v>
      </c>
      <c r="E57" s="59"/>
      <c r="F57" s="59"/>
      <c r="G57" s="59"/>
      <c r="H57" s="59"/>
    </row>
    <row r="58" customFormat="false" ht="15" hidden="false" customHeight="true" outlineLevel="0" collapsed="false">
      <c r="A58" s="22" t="s">
        <v>358</v>
      </c>
      <c r="B58" s="22"/>
      <c r="C58" s="22"/>
      <c r="D58" s="60" t="n">
        <f aca="false">IF(OR(D54="",E18=""),"",D54-E18)</f>
        <v>0.0800000000017462</v>
      </c>
      <c r="E58" s="60" t="str">
        <f aca="false">IF(OR(E54="",E18=""),"",E54-E18)</f>
        <v/>
      </c>
      <c r="F58" s="60" t="str">
        <f aca="false">IF(OR(F54="",E18=""),"",F54-E18)</f>
        <v/>
      </c>
      <c r="G58" s="60" t="str">
        <f aca="false">IF(OR(G54="",E18=""),"",G54-E18)</f>
        <v/>
      </c>
      <c r="H58" s="60" t="str">
        <f aca="false">IF(OR(H54="",E18=""),"",H54-E18)</f>
        <v/>
      </c>
    </row>
    <row r="59" customFormat="false" ht="15" hidden="false" customHeight="true" outlineLevel="0" collapsed="false">
      <c r="A59" s="22" t="s">
        <v>359</v>
      </c>
      <c r="B59" s="22"/>
      <c r="C59" s="22"/>
      <c r="D59" s="61" t="n">
        <f aca="false">IF(OR(D54="",E18=""),"",(D54-E18)/E18)</f>
        <v>7.47664110419393E-007</v>
      </c>
      <c r="E59" s="61" t="str">
        <f aca="false">IF(OR(E54="",E18=""),"",(E54-E18)/E18)</f>
        <v/>
      </c>
      <c r="F59" s="61" t="str">
        <f aca="false">IF(OR(F54="",E18=""),"",(F54-E18)/E18)</f>
        <v/>
      </c>
      <c r="G59" s="61" t="str">
        <f aca="false">IF(OR(G54="",E18=""),"",(G54-E18)/E18)</f>
        <v/>
      </c>
      <c r="H59" s="61" t="str">
        <f aca="false">IF(OR(H54="",E18=""),"",(H54-E18)/E18)</f>
        <v/>
      </c>
    </row>
    <row r="60" customFormat="false" ht="15" hidden="false" customHeight="true" outlineLevel="0" collapsed="false">
      <c r="A60" s="22" t="s">
        <v>360</v>
      </c>
      <c r="B60" s="22"/>
      <c r="C60" s="22"/>
      <c r="D60" s="62" t="n">
        <f aca="false">IF(OR(D54="",D13=""),"",D54/D13)</f>
        <v>0.0306064073226545</v>
      </c>
      <c r="E60" s="62" t="str">
        <f aca="false">IF(OR(E54="",D13=""),"",E54/D13)</f>
        <v/>
      </c>
      <c r="F60" s="62" t="str">
        <f aca="false">IF(OR(F54="",D13=""),"",F54/D13)</f>
        <v/>
      </c>
      <c r="G60" s="62" t="str">
        <f aca="false">IF(OR(G54="",D13=""),"",G54/D13)</f>
        <v/>
      </c>
      <c r="H60" s="62" t="str">
        <f aca="false">IF(OR(H54="",D13=""),"",H54/D13)</f>
        <v/>
      </c>
    </row>
    <row r="61" customFormat="false" ht="15" hidden="false" customHeight="true" outlineLevel="0" collapsed="false">
      <c r="A61" s="22" t="s">
        <v>361</v>
      </c>
      <c r="B61" s="22"/>
      <c r="C61" s="22"/>
      <c r="D61" s="61" t="n">
        <f aca="false">IF(OR(D54="",H49=""),"",(D54-H49)/H49)</f>
        <v>-0.451282051282051</v>
      </c>
      <c r="E61" s="61" t="str">
        <f aca="false">IF(OR(E54="",H49=""),"",(E54-H49)/H49)</f>
        <v/>
      </c>
      <c r="F61" s="61" t="str">
        <f aca="false">IF(OR(F54="",H49=""),"",(F54-H49)/H49)</f>
        <v/>
      </c>
      <c r="G61" s="61" t="str">
        <f aca="false">IF(OR(G54="",H49=""),"",(G54-H49)/H49)</f>
        <v/>
      </c>
      <c r="H61" s="61" t="str">
        <f aca="false">IF(OR(H54="",H49=""),"",(H54-H49)/H49)</f>
        <v/>
      </c>
    </row>
    <row r="62" customFormat="false" ht="15" hidden="false" customHeight="true" outlineLevel="0" collapsed="false">
      <c r="A62" s="22" t="s">
        <v>362</v>
      </c>
      <c r="B62" s="22"/>
      <c r="C62" s="22"/>
      <c r="D62" s="63" t="n">
        <f aca="true">IF(D54="","",SUMPRODUCT(D54*(1+IF(D55="",0,D55))^ROUNDDOWN((ROW(INDIRECT("1:10"))-1)/IF(D56="",5,D56),0)))</f>
        <v>1080700</v>
      </c>
      <c r="E62" s="63" t="str">
        <f aca="true">IF(E54="","",SUMPRODUCT(E54*(1+IF(E55="",0,E55))^ROUNDDOWN((ROW(INDIRECT("1:10"))-1)/IF(E56="",5,E56),0)))</f>
        <v/>
      </c>
      <c r="F62" s="63" t="str">
        <f aca="true">IF(F54="","",SUMPRODUCT(F54*(1+IF(F55="",0,F55))^ROUNDDOWN((ROW(INDIRECT("1:10"))-1)/IF(F56="",5,F56),0)))</f>
        <v/>
      </c>
      <c r="G62" s="63" t="str">
        <f aca="true">IF(G54="","",SUMPRODUCT(G54*(1+IF(G55="",0,G55))^ROUNDDOWN((ROW(INDIRECT("1:10"))-1)/IF(G56="",5,G56),0)))</f>
        <v/>
      </c>
      <c r="H62" s="63" t="str">
        <f aca="true">IF(H54="","",SUMPRODUCT(H54*(1+IF(H55="",0,H55))^ROUNDDOWN((ROW(INDIRECT("1:10"))-1)/IF(H56="",5,H56),0)))</f>
        <v/>
      </c>
    </row>
    <row r="63" customFormat="false" ht="15" hidden="false" customHeight="true" outlineLevel="0" collapsed="false">
      <c r="A63" s="22" t="s">
        <v>363</v>
      </c>
      <c r="B63" s="22"/>
      <c r="C63" s="22"/>
      <c r="D63" s="60" t="n">
        <f aca="false">IF(OR(D62="",E21=""),"",D62-E21)</f>
        <v>-162399.788</v>
      </c>
      <c r="E63" s="60" t="str">
        <f aca="false">IF(OR(E62="",E21=""),"",E62-E21)</f>
        <v/>
      </c>
      <c r="F63" s="60" t="str">
        <f aca="false">IF(OR(F62="",E21=""),"",F62-E21)</f>
        <v/>
      </c>
      <c r="G63" s="60" t="str">
        <f aca="false">IF(OR(G62="",E21=""),"",G62-E21)</f>
        <v/>
      </c>
      <c r="H63" s="60" t="str">
        <f aca="false">IF(OR(H62="",E21=""),"",H62-E21)</f>
        <v/>
      </c>
    </row>
    <row r="64" customFormat="false" ht="23.85" hidden="false" customHeight="true" outlineLevel="0" collapsed="false">
      <c r="A64" s="22" t="s">
        <v>364</v>
      </c>
      <c r="B64" s="22"/>
      <c r="C64" s="22"/>
      <c r="D64" s="58"/>
      <c r="E64" s="58"/>
      <c r="F64" s="58"/>
      <c r="G64" s="58"/>
      <c r="H64" s="58"/>
    </row>
    <row r="65" customFormat="false" ht="23.85" hidden="false" customHeight="true" outlineLevel="0" collapsed="false">
      <c r="A65" s="22" t="s">
        <v>365</v>
      </c>
      <c r="B65" s="22"/>
      <c r="C65" s="22"/>
      <c r="D65" s="57"/>
      <c r="E65" s="57"/>
      <c r="F65" s="57"/>
      <c r="G65" s="57"/>
      <c r="H65" s="57"/>
    </row>
    <row r="66" customFormat="false" ht="15" hidden="false" customHeight="true" outlineLevel="0" collapsed="false">
      <c r="A66" s="22" t="s">
        <v>366</v>
      </c>
      <c r="B66" s="22"/>
      <c r="C66" s="22"/>
      <c r="D66" s="63" t="str">
        <f aca="false">IF(OR(D54="",AND(D64="",$D$35="")),"",IF(IF(D64="",IF($D$35="",0,$D$35),D64)=0,"— (% rent removed)",IF(D65&lt;&gt;"",D65,IF($D$37&lt;&gt;"",$D$37,D54/IF(D64="",IF($D$35="",0,$D$35),D64)))))</f>
        <v>— (% rent removed)</v>
      </c>
      <c r="E66" s="63" t="str">
        <f aca="false">IF(OR(E54="",AND(E64="",$D$35="")),"",IF(IF(E64="",IF($D$35="",0,$D$35),E64)=0,"— (% rent removed)",IF(E65&lt;&gt;"",E65,IF($D$37&lt;&gt;"",$D$37,E54/IF(E64="",IF($D$35="",0,$D$35),E64)))))</f>
        <v/>
      </c>
      <c r="F66" s="63" t="str">
        <f aca="false">IF(OR(F54="",AND(F64="",$D$35="")),"",IF(IF(F64="",IF($D$35="",0,$D$35),F64)=0,"— (% rent removed)",IF(F65&lt;&gt;"",F65,IF($D$37&lt;&gt;"",$D$37,F54/IF(F64="",IF($D$35="",0,$D$35),F64)))))</f>
        <v/>
      </c>
      <c r="G66" s="63" t="str">
        <f aca="false">IF(OR(G54="",AND(G64="",$D$35="")),"",IF(IF(G64="",IF($D$35="",0,$D$35),G64)=0,"— (% rent removed)",IF(G65&lt;&gt;"",G65,IF($D$37&lt;&gt;"",$D$37,G54/IF(G64="",IF($D$35="",0,$D$35),G64)))))</f>
        <v/>
      </c>
      <c r="H66" s="63" t="str">
        <f aca="false">IF(OR(H54="",AND(H64="",$D$35="")),"",IF(IF(H64="",IF($D$35="",0,$D$35),H64)=0,"— (% rent removed)",IF(H65&lt;&gt;"",H65,IF($D$37&lt;&gt;"",$D$37,H54/IF(H64="",IF($D$35="",0,$D$35),H64)))))</f>
        <v/>
      </c>
    </row>
    <row r="67" customFormat="false" ht="15" hidden="false" customHeight="true" outlineLevel="0" collapsed="false">
      <c r="A67" s="22" t="s">
        <v>367</v>
      </c>
      <c r="B67" s="22"/>
      <c r="C67" s="22"/>
      <c r="D67" s="63" t="n">
        <f aca="false">IF(OR(D54="",AND(D64="",$D$35=""),D13=""),"",IF(IF(D64="",IF($D$35="",0,$D$35),D64)=0,0,MAX(0,D13-D66)*IF(D64="",IF($D$35="",0,$D$35),D64)))</f>
        <v>0</v>
      </c>
      <c r="E67" s="63" t="str">
        <f aca="false">IF(OR(E54="",AND(E64="",$D$35=""),D13=""),"",IF(IF(E64="",IF($D$35="",0,$D$35),E64)=0,0,MAX(0,D13-E66)*IF(E64="",IF($D$35="",0,$D$35),E64)))</f>
        <v/>
      </c>
      <c r="F67" s="63" t="str">
        <f aca="false">IF(OR(F54="",AND(F64="",$D$35=""),D13=""),"",IF(IF(F64="",IF($D$35="",0,$D$35),F64)=0,0,MAX(0,D13-F66)*IF(F64="",IF($D$35="",0,$D$35),F64)))</f>
        <v/>
      </c>
      <c r="G67" s="63" t="str">
        <f aca="false">IF(OR(G54="",AND(G64="",$D$35=""),D13=""),"",IF(IF(G64="",IF($D$35="",0,$D$35),G64)=0,0,MAX(0,D13-G66)*IF(G64="",IF($D$35="",0,$D$35),G64)))</f>
        <v/>
      </c>
      <c r="H67" s="63" t="str">
        <f aca="false">IF(OR(H54="",AND(H64="",$D$35=""),D13=""),"",IF(IF(H64="",IF($D$35="",0,$D$35),H64)=0,0,MAX(0,D13-H66)*IF(H64="",IF($D$35="",0,$D$35),H64)))</f>
        <v/>
      </c>
    </row>
    <row r="68" customFormat="false" ht="15" hidden="false" customHeight="true" outlineLevel="0" collapsed="false">
      <c r="A68" s="22" t="s">
        <v>368</v>
      </c>
      <c r="B68" s="22"/>
      <c r="C68" s="22"/>
      <c r="D68" s="63" t="n">
        <f aca="false">IF(OR(D54="",D67=""),"",D54+D67)</f>
        <v>107000</v>
      </c>
      <c r="E68" s="63" t="str">
        <f aca="false">IF(OR(E54="",E67=""),"",E54+E67)</f>
        <v/>
      </c>
      <c r="F68" s="63" t="str">
        <f aca="false">IF(OR(F54="",F67=""),"",F54+F67)</f>
        <v/>
      </c>
      <c r="G68" s="63" t="str">
        <f aca="false">IF(OR(G54="",G67=""),"",G54+G67)</f>
        <v/>
      </c>
      <c r="H68" s="63" t="str">
        <f aca="false">IF(OR(H54="",H67=""),"",H54+H67)</f>
        <v/>
      </c>
    </row>
    <row r="69" customFormat="false" ht="15" hidden="false" customHeight="true" outlineLevel="0" collapsed="false">
      <c r="A69" s="22" t="s">
        <v>369</v>
      </c>
      <c r="B69" s="22"/>
      <c r="C69" s="22"/>
      <c r="D69" s="62" t="n">
        <f aca="false">IF(OR(D68="",D13=""),"",D68/D13)</f>
        <v>0.0306064073226545</v>
      </c>
      <c r="E69" s="62" t="str">
        <f aca="false">IF(OR(E68="",D13=""),"",E68/D13)</f>
        <v/>
      </c>
      <c r="F69" s="62" t="str">
        <f aca="false">IF(OR(F68="",D13=""),"",F68/D13)</f>
        <v/>
      </c>
      <c r="G69" s="62" t="str">
        <f aca="false">IF(OR(G68="",D13=""),"",G68/D13)</f>
        <v/>
      </c>
      <c r="H69" s="62" t="str">
        <f aca="false">IF(OR(H68="",D13=""),"",H68/D13)</f>
        <v/>
      </c>
    </row>
    <row r="70" customFormat="false" ht="23.85" hidden="false" customHeight="true" outlineLevel="0" collapsed="false">
      <c r="A70" s="22" t="s">
        <v>370</v>
      </c>
      <c r="B70" s="22"/>
      <c r="C70" s="22"/>
      <c r="D70" s="64" t="n">
        <f aca="false">IF(D68="","",(1103512.33-D68)/3498366.63)</f>
        <v>0.2848507419018</v>
      </c>
      <c r="E70" s="64" t="str">
        <f aca="false">IF(E68="","",(1103512.33-E68)/3498366.63)</f>
        <v/>
      </c>
      <c r="F70" s="64" t="str">
        <f aca="false">IF(F68="","",(1103512.33-F68)/3498366.63)</f>
        <v/>
      </c>
      <c r="G70" s="64" t="str">
        <f aca="false">IF(G68="","",(1103512.33-G68)/3498366.63)</f>
        <v/>
      </c>
      <c r="H70" s="64" t="str">
        <f aca="false">IF(H68="","",(1103512.33-H68)/3498366.63)</f>
        <v/>
      </c>
    </row>
    <row r="71" customFormat="false" ht="15" hidden="false" customHeight="true" outlineLevel="0" collapsed="false">
      <c r="A71" s="22" t="s">
        <v>371</v>
      </c>
      <c r="B71" s="22"/>
      <c r="C71" s="22"/>
      <c r="D71" s="63" t="n">
        <f aca="true">IF(OR(D54="",AND(D64="",$D$35=""),D13=""),"",IF(IF(D64="",IF($D$35="",0,$D$35),D64)=0,0,SUMPRODUCT(((D13*1.02^(ROW(INDIRECT("1:10"))-1))-(IF(D65&lt;&gt;"",D65,IF($D$37&lt;&gt;"",$D$37,(D54*(1+IF(D55="",0,D55))^ROUNDDOWN((ROW(INDIRECT("1:10"))-1)/IF(D56="",5,D56),0))/IF(D64="",IF($D$35="",0,$D$35),D64))))&gt;0)*((D13*1.02^(ROW(INDIRECT("1:10"))-1))-(IF(D65&lt;&gt;"",D65,IF($D$37&lt;&gt;"",$D$37,(D54*(1+IF(D55="",0,D55))^ROUNDDOWN((ROW(INDIRECT("1:10"))-1)/IF(D56="",5,D56),0))/IF(D64="",IF($D$35="",0,$D$35),D64))))))*IF(D64="",IF($D$35="",0,$D$35),D64)))</f>
        <v>0</v>
      </c>
      <c r="E71" s="63" t="str">
        <f aca="true">IF(OR(E54="",AND(E64="",$D$35=""),D13=""),"",IF(IF(E64="",IF($D$35="",0,$D$35),E64)=0,0,SUMPRODUCT(((D13*1.02^(ROW(INDIRECT("1:10"))-1))-(IF(E65&lt;&gt;"",E65,IF($D$37&lt;&gt;"",$D$37,(E54*(1+IF(E55="",0,E55))^ROUNDDOWN((ROW(INDIRECT("1:10"))-1)/IF(E56="",5,E56),0))/IF(E64="",IF($D$35="",0,$D$35),E64))))&gt;0)*((D13*1.02^(ROW(INDIRECT("1:10"))-1))-(IF(E65&lt;&gt;"",E65,IF($D$37&lt;&gt;"",$D$37,(E54*(1+IF(E55="",0,E55))^ROUNDDOWN((ROW(INDIRECT("1:10"))-1)/IF(E56="",5,E56),0))/IF(E64="",IF($D$35="",0,$D$35),E64))))))*IF(E64="",IF($D$35="",0,$D$35),E64)))</f>
        <v/>
      </c>
      <c r="F71" s="63" t="str">
        <f aca="true">IF(OR(F54="",AND(F64="",$D$35=""),D13=""),"",IF(IF(F64="",IF($D$35="",0,$D$35),F64)=0,0,SUMPRODUCT(((D13*1.02^(ROW(INDIRECT("1:10"))-1))-(IF(F65&lt;&gt;"",F65,IF($D$37&lt;&gt;"",$D$37,(F54*(1+IF(F55="",0,F55))^ROUNDDOWN((ROW(INDIRECT("1:10"))-1)/IF(F56="",5,F56),0))/IF(F64="",IF($D$35="",0,$D$35),F64))))&gt;0)*((D13*1.02^(ROW(INDIRECT("1:10"))-1))-(IF(F65&lt;&gt;"",F65,IF($D$37&lt;&gt;"",$D$37,(F54*(1+IF(F55="",0,F55))^ROUNDDOWN((ROW(INDIRECT("1:10"))-1)/IF(F56="",5,F56),0))/IF(F64="",IF($D$35="",0,$D$35),F64))))))*IF(F64="",IF($D$35="",0,$D$35),F64)))</f>
        <v/>
      </c>
      <c r="G71" s="63" t="str">
        <f aca="true">IF(OR(G54="",AND(G64="",$D$35=""),D13=""),"",IF(IF(G64="",IF($D$35="",0,$D$35),G64)=0,0,SUMPRODUCT(((D13*1.02^(ROW(INDIRECT("1:10"))-1))-(IF(G65&lt;&gt;"",G65,IF($D$37&lt;&gt;"",$D$37,(G54*(1+IF(G55="",0,G55))^ROUNDDOWN((ROW(INDIRECT("1:10"))-1)/IF(G56="",5,G56),0))/IF(G64="",IF($D$35="",0,$D$35),G64))))&gt;0)*((D13*1.02^(ROW(INDIRECT("1:10"))-1))-(IF(G65&lt;&gt;"",G65,IF($D$37&lt;&gt;"",$D$37,(G54*(1+IF(G55="",0,G55))^ROUNDDOWN((ROW(INDIRECT("1:10"))-1)/IF(G56="",5,G56),0))/IF(G64="",IF($D$35="",0,$D$35),G64))))))*IF(G64="",IF($D$35="",0,$D$35),G64)))</f>
        <v/>
      </c>
      <c r="H71" s="63" t="str">
        <f aca="true">IF(OR(H54="",AND(H64="",$D$35=""),D13=""),"",IF(IF(H64="",IF($D$35="",0,$D$35),H64)=0,0,SUMPRODUCT(((D13*1.02^(ROW(INDIRECT("1:10"))-1))-(IF(H65&lt;&gt;"",H65,IF($D$37&lt;&gt;"",$D$37,(H54*(1+IF(H55="",0,H55))^ROUNDDOWN((ROW(INDIRECT("1:10"))-1)/IF(H56="",5,H56),0))/IF(H64="",IF($D$35="",0,$D$35),H64))))&gt;0)*((D13*1.02^(ROW(INDIRECT("1:10"))-1))-(IF(H65&lt;&gt;"",H65,IF($D$37&lt;&gt;"",$D$37,(H54*(1+IF(H55="",0,H55))^ROUNDDOWN((ROW(INDIRECT("1:10"))-1)/IF(H56="",5,H56),0))/IF(H64="",IF($D$35="",0,$D$35),H64))))))*IF(H64="",IF($D$35="",0,$D$35),H64)))</f>
        <v/>
      </c>
    </row>
    <row r="72" customFormat="false" ht="15" hidden="false" customHeight="true" outlineLevel="0" collapsed="false">
      <c r="A72" s="22" t="s">
        <v>372</v>
      </c>
      <c r="B72" s="22"/>
      <c r="C72" s="22"/>
      <c r="D72" s="63" t="n">
        <f aca="false">IF(OR(D62="",D71=""),"",D62+D71)</f>
        <v>1080700</v>
      </c>
      <c r="E72" s="63" t="str">
        <f aca="false">IF(OR(E62="",E71=""),"",E62+E71)</f>
        <v/>
      </c>
      <c r="F72" s="63" t="str">
        <f aca="false">IF(OR(F62="",F71=""),"",F62+F71)</f>
        <v/>
      </c>
      <c r="G72" s="63" t="str">
        <f aca="false">IF(OR(G62="",G71=""),"",G62+G71)</f>
        <v/>
      </c>
      <c r="H72" s="63" t="str">
        <f aca="false">IF(OR(H62="",H71=""),"",H62+H71)</f>
        <v/>
      </c>
    </row>
    <row r="73" customFormat="false" ht="23.85" hidden="false" customHeight="true" outlineLevel="0" collapsed="false">
      <c r="A73" s="22" t="s">
        <v>373</v>
      </c>
      <c r="B73" s="22"/>
      <c r="C73" s="22"/>
      <c r="D73" s="65" t="n">
        <f aca="true">IF(D54="","",SUMPRODUCT(D54*(1+IF(D55="",0,D55))^ROUNDDOWN((ROW(INDIRECT("1:"&amp;IF(D57="",10,D57)))-1)/IF(D56="",5,D56),0))+IF(OR(D13="",IF(D64="",IF($D$35="",0,$D$35),D64)=0),0,SUMPRODUCT(((D13*1.02^(ROW(INDIRECT("1:"&amp;IF(D57="",10,D57)))-1))-(IF(D65&lt;&gt;"",D65,IF($D$37&lt;&gt;"",$D$37,(D54*(1+IF(D55="",0,D55))^ROUNDDOWN((ROW(INDIRECT("1:"&amp;IF(D57="",10,D57)))-1)/IF(D56="",5,D56),0))/IF(D64="",IF($D$35="",0,$D$35),D64))))&gt;0)*((D13*1.02^(ROW(INDIRECT("1:"&amp;IF(D57="",10,D57)))-1))-(IF(D65&lt;&gt;"",D65,IF($D$37&lt;&gt;"",$D$37,(D54*(1+IF(D55="",0,D55))^ROUNDDOWN((ROW(INDIRECT("1:"&amp;IF(D57="",10,D57)))-1)/IF(D56="",5,D56),0))/IF(D64="",IF($D$35="",0,$D$35),D64))))))*IF(D64="",IF($D$35="",0,$D$35),D64)))</f>
        <v>2205060.28</v>
      </c>
      <c r="E73" s="65" t="str">
        <f aca="true">IF(E54="","",SUMPRODUCT(E54*(1+IF(E55="",0,E55))^ROUNDDOWN((ROW(INDIRECT("1:"&amp;IF(E57="",10,E57)))-1)/IF(E56="",5,E56),0))+IF(OR(D13="",IF(E64="",IF($D$35="",0,$D$35),E64)=0),0,SUMPRODUCT(((D13*1.02^(ROW(INDIRECT("1:"&amp;IF(E57="",10,E57)))-1))-(IF(E65&lt;&gt;"",E65,IF($D$37&lt;&gt;"",$D$37,(E54*(1+IF(E55="",0,E55))^ROUNDDOWN((ROW(INDIRECT("1:"&amp;IF(E57="",10,E57)))-1)/IF(E56="",5,E56),0))/IF(E64="",IF($D$35="",0,$D$35),E64))))&gt;0)*((D13*1.02^(ROW(INDIRECT("1:"&amp;IF(E57="",10,E57)))-1))-(IF(E65&lt;&gt;"",E65,IF($D$37&lt;&gt;"",$D$37,(E54*(1+IF(E55="",0,E55))^ROUNDDOWN((ROW(INDIRECT("1:"&amp;IF(E57="",10,E57)))-1)/IF(E56="",5,E56),0))/IF(E64="",IF($D$35="",0,$D$35),E64))))))*IF(E64="",IF($D$35="",0,$D$35),E64)))</f>
        <v/>
      </c>
      <c r="F73" s="65" t="str">
        <f aca="true">IF(F54="","",SUMPRODUCT(F54*(1+IF(F55="",0,F55))^ROUNDDOWN((ROW(INDIRECT("1:"&amp;IF(F57="",10,F57)))-1)/IF(F56="",5,F56),0))+IF(OR(D13="",IF(F64="",IF($D$35="",0,$D$35),F64)=0),0,SUMPRODUCT(((D13*1.02^(ROW(INDIRECT("1:"&amp;IF(F57="",10,F57)))-1))-(IF(F65&lt;&gt;"",F65,IF($D$37&lt;&gt;"",$D$37,(F54*(1+IF(F55="",0,F55))^ROUNDDOWN((ROW(INDIRECT("1:"&amp;IF(F57="",10,F57)))-1)/IF(F56="",5,F56),0))/IF(F64="",IF($D$35="",0,$D$35),F64))))&gt;0)*((D13*1.02^(ROW(INDIRECT("1:"&amp;IF(F57="",10,F57)))-1))-(IF(F65&lt;&gt;"",F65,IF($D$37&lt;&gt;"",$D$37,(F54*(1+IF(F55="",0,F55))^ROUNDDOWN((ROW(INDIRECT("1:"&amp;IF(F57="",10,F57)))-1)/IF(F56="",5,F56),0))/IF(F64="",IF($D$35="",0,$D$35),F64))))))*IF(F64="",IF($D$35="",0,$D$35),F64)))</f>
        <v/>
      </c>
      <c r="G73" s="65" t="str">
        <f aca="true">IF(G54="","",SUMPRODUCT(G54*(1+IF(G55="",0,G55))^ROUNDDOWN((ROW(INDIRECT("1:"&amp;IF(G57="",10,G57)))-1)/IF(G56="",5,G56),0))+IF(OR(D13="",IF(G64="",IF($D$35="",0,$D$35),G64)=0),0,SUMPRODUCT(((D13*1.02^(ROW(INDIRECT("1:"&amp;IF(G57="",10,G57)))-1))-(IF(G65&lt;&gt;"",G65,IF($D$37&lt;&gt;"",$D$37,(G54*(1+IF(G55="",0,G55))^ROUNDDOWN((ROW(INDIRECT("1:"&amp;IF(G57="",10,G57)))-1)/IF(G56="",5,G56),0))/IF(G64="",IF($D$35="",0,$D$35),G64))))&gt;0)*((D13*1.02^(ROW(INDIRECT("1:"&amp;IF(G57="",10,G57)))-1))-(IF(G65&lt;&gt;"",G65,IF($D$37&lt;&gt;"",$D$37,(G54*(1+IF(G55="",0,G55))^ROUNDDOWN((ROW(INDIRECT("1:"&amp;IF(G57="",10,G57)))-1)/IF(G56="",5,G56),0))/IF(G64="",IF($D$35="",0,$D$35),G64))))))*IF(G64="",IF($D$35="",0,$D$35),G64)))</f>
        <v/>
      </c>
      <c r="H73" s="65" t="str">
        <f aca="true">IF(H54="","",SUMPRODUCT(H54*(1+IF(H55="",0,H55))^ROUNDDOWN((ROW(INDIRECT("1:"&amp;IF(H57="",10,H57)))-1)/IF(H56="",5,H56),0))+IF(OR(D13="",IF(H64="",IF($D$35="",0,$D$35),H64)=0),0,SUMPRODUCT(((D13*1.02^(ROW(INDIRECT("1:"&amp;IF(H57="",10,H57)))-1))-(IF(H65&lt;&gt;"",H65,IF($D$37&lt;&gt;"",$D$37,(H54*(1+IF(H55="",0,H55))^ROUNDDOWN((ROW(INDIRECT("1:"&amp;IF(H57="",10,H57)))-1)/IF(H56="",5,H56),0))/IF(H64="",IF($D$35="",0,$D$35),H64))))&gt;0)*((D13*1.02^(ROW(INDIRECT("1:"&amp;IF(H57="",10,H57)))-1))-(IF(H65&lt;&gt;"",H65,IF($D$37&lt;&gt;"",$D$37,(H54*(1+IF(H55="",0,H55))^ROUNDDOWN((ROW(INDIRECT("1:"&amp;IF(H57="",10,H57)))-1)/IF(H56="",5,H56),0))/IF(H64="",IF($D$35="",0,$D$35),H64))))))*IF(H64="",IF($D$35="",0,$D$35),H64)))</f>
        <v/>
      </c>
    </row>
    <row r="74" customFormat="false" ht="15" hidden="false" customHeight="true" outlineLevel="0" collapsed="false">
      <c r="A74" s="22" t="s">
        <v>374</v>
      </c>
      <c r="B74" s="22"/>
      <c r="C74" s="22"/>
      <c r="D74" s="62" t="n">
        <f aca="false">IF(D54="","",IF(D55="",0,(1+D55)^(5/IF(D56="",5,D56))-1))</f>
        <v>0.02</v>
      </c>
      <c r="E74" s="62" t="str">
        <f aca="false">IF(E54="","",IF(E55="",0,(1+E55)^(5/IF(E56="",5,E56))-1))</f>
        <v/>
      </c>
      <c r="F74" s="62" t="str">
        <f aca="false">IF(F54="","",IF(F55="",0,(1+F55)^(5/IF(F56="",5,F56))-1))</f>
        <v/>
      </c>
      <c r="G74" s="62" t="str">
        <f aca="false">IF(G54="","",IF(G55="",0,(1+G55)^(5/IF(G56="",5,G56))-1))</f>
        <v/>
      </c>
      <c r="H74" s="62" t="str">
        <f aca="false">IF(H54="","",IF(H55="",0,(1+H55)^(5/IF(H56="",5,H56))-1))</f>
        <v/>
      </c>
    </row>
    <row r="75" customFormat="false" ht="43.25" hidden="false" customHeight="true" outlineLevel="0" collapsed="false">
      <c r="A75" s="22" t="s">
        <v>375</v>
      </c>
      <c r="B75" s="22"/>
      <c r="C75" s="22"/>
      <c r="D75" s="66" t="str">
        <f aca="false">IF(D74="","",IF(D74&lt;=0,"REDUCTION / FLAT — ladder steps 1-2 (best)",IF(D74&lt;=0.08,"OK — within 8%/5-yr in-house authority (ladder step 3)","ABOVE 8%/5-yr — CEO SIGN-OFF REQUIRED (Rob 8/5/26)")))</f>
        <v>OK — within 8%/5-yr in-house authority (ladder step 3)</v>
      </c>
      <c r="E75" s="66" t="str">
        <f aca="false">IF(E74="","",IF(E74&lt;=0,"REDUCTION / FLAT — ladder steps 1-2 (best)",IF(E74&lt;=0.08,"OK — within 8%/5-yr in-house authority (ladder step 3)","ABOVE 8%/5-yr — CEO SIGN-OFF REQUIRED (Rob 8/5/26)")))</f>
        <v/>
      </c>
      <c r="F75" s="66" t="str">
        <f aca="false">IF(F74="","",IF(F74&lt;=0,"REDUCTION / FLAT — ladder steps 1-2 (best)",IF(F74&lt;=0.08,"OK — within 8%/5-yr in-house authority (ladder step 3)","ABOVE 8%/5-yr — CEO SIGN-OFF REQUIRED (Rob 8/5/26)")))</f>
        <v/>
      </c>
      <c r="G75" s="66" t="str">
        <f aca="false">IF(G74="","",IF(G74&lt;=0,"REDUCTION / FLAT — ladder steps 1-2 (best)",IF(G74&lt;=0.08,"OK — within 8%/5-yr in-house authority (ladder step 3)","ABOVE 8%/5-yr — CEO SIGN-OFF REQUIRED (Rob 8/5/26)")))</f>
        <v/>
      </c>
      <c r="H75" s="66" t="str">
        <f aca="false">IF(H74="","",IF(H74&lt;=0,"REDUCTION / FLAT — ladder steps 1-2 (best)",IF(H74&lt;=0.08,"OK — within 8%/5-yr in-house authority (ladder step 3)","ABOVE 8%/5-yr — CEO SIGN-OFF REQUIRED (Rob 8/5/26)")))</f>
        <v/>
      </c>
    </row>
    <row r="76" customFormat="false" ht="23.85" hidden="false" customHeight="true" outlineLevel="0" collapsed="false">
      <c r="A76" s="22" t="s">
        <v>376</v>
      </c>
      <c r="B76" s="22"/>
      <c r="C76" s="22"/>
      <c r="D76" s="62" t="n">
        <f aca="false">IF(OR(D54="",D13=""),"",((D54*(1+IF(D55="",0,D55))^ROUNDDOWN(9/IF(D56="",5,D56),0))+IF(IF(D64="",IF($D$35="",0,$D$35),D64)=0,0,MAX(0,D13*1.02^9-IF(D65&lt;&gt;"",D65,IF($D$37&lt;&gt;"",$D$37,(D54*(1+IF(D55="",0,D55))^ROUNDDOWN(9/IF(D56="",5,D56),0))/IF(D64="",IF($D$35="",0,$D$35),D64))))*IF(D64="",IF($D$35="",0,$D$35),D64)))/(D13*1.02^9))</f>
        <v>0.0261222739466081</v>
      </c>
      <c r="E76" s="62" t="str">
        <f aca="false">IF(OR(E54="",D13=""),"",((E54*(1+IF(E55="",0,E55))^ROUNDDOWN(9/IF(E56="",5,E56),0))+IF(IF(E64="",IF($D$35="",0,$D$35),E64)=0,0,MAX(0,D13*1.02^9-IF(E65&lt;&gt;"",E65,IF($D$37&lt;&gt;"",$D$37,(E54*(1+IF(E55="",0,E55))^ROUNDDOWN(9/IF(E56="",5,E56),0))/IF(E64="",IF($D$35="",0,$D$35),E64))))*IF(E64="",IF($D$35="",0,$D$35),E64)))/(D13*1.02^9))</f>
        <v/>
      </c>
      <c r="F76" s="62" t="str">
        <f aca="false">IF(OR(F54="",D13=""),"",((F54*(1+IF(F55="",0,F55))^ROUNDDOWN(9/IF(F56="",5,F56),0))+IF(IF(F64="",IF($D$35="",0,$D$35),F64)=0,0,MAX(0,D13*1.02^9-IF(F65&lt;&gt;"",F65,IF($D$37&lt;&gt;"",$D$37,(F54*(1+IF(F55="",0,F55))^ROUNDDOWN(9/IF(F56="",5,F56),0))/IF(F64="",IF($D$35="",0,$D$35),F64))))*IF(F64="",IF($D$35="",0,$D$35),F64)))/(D13*1.02^9))</f>
        <v/>
      </c>
      <c r="G76" s="62" t="str">
        <f aca="false">IF(OR(G54="",D13=""),"",((G54*(1+IF(G55="",0,G55))^ROUNDDOWN(9/IF(G56="",5,G56),0))+IF(IF(G64="",IF($D$35="",0,$D$35),G64)=0,0,MAX(0,D13*1.02^9-IF(G65&lt;&gt;"",G65,IF($D$37&lt;&gt;"",$D$37,(G54*(1+IF(G55="",0,G55))^ROUNDDOWN(9/IF(G56="",5,G56),0))/IF(G64="",IF($D$35="",0,$D$35),G64))))*IF(G64="",IF($D$35="",0,$D$35),G64)))/(D13*1.02^9))</f>
        <v/>
      </c>
      <c r="H76" s="62" t="str">
        <f aca="false">IF(OR(H54="",D13=""),"",((H54*(1+IF(H55="",0,H55))^ROUNDDOWN(9/IF(H56="",5,H56),0))+IF(IF(H64="",IF($D$35="",0,$D$35),H64)=0,0,MAX(0,D13*1.02^9-IF(H65&lt;&gt;"",H65,IF($D$37&lt;&gt;"",$D$37,(H54*(1+IF(H55="",0,H55))^ROUNDDOWN(9/IF(H56="",5,H56),0))/IF(H64="",IF($D$35="",0,$D$35),H64))))*IF(H64="",IF($D$35="",0,$D$35),H64)))/(D13*1.02^9))</f>
        <v/>
      </c>
    </row>
    <row r="77" customFormat="false" ht="23.85" hidden="false" customHeight="true" outlineLevel="0" collapsed="false">
      <c r="A77" s="22" t="s">
        <v>377</v>
      </c>
      <c r="B77" s="22"/>
      <c r="C77" s="22"/>
      <c r="D77" s="66" t="str">
        <f aca="false">IF(OR(D76="",D69=""),"",IF(MAX(D69,D76)&gt;=0.08,"HARD STOP — occupancy at/above 8% of sales: STOP, CEO sign-off before responding",IF(MAX(D69,D76)&gt;0.07,"Above Kim 7% alert — approaching 8% hard stop","OK — under 7% alert")))</f>
        <v>OK — under 7% alert</v>
      </c>
      <c r="E77" s="66" t="str">
        <f aca="false">IF(OR(E76="",E69=""),"",IF(MAX(E69,E76)&gt;=0.08,"HARD STOP — occupancy at/above 8% of sales: STOP, CEO sign-off before responding",IF(MAX(E69,E76)&gt;0.07,"Above Kim 7% alert — approaching 8% hard stop","OK — under 7% alert")))</f>
        <v/>
      </c>
      <c r="F77" s="66" t="str">
        <f aca="false">IF(OR(F76="",F69=""),"",IF(MAX(F69,F76)&gt;=0.08,"HARD STOP — occupancy at/above 8% of sales: STOP, CEO sign-off before responding",IF(MAX(F69,F76)&gt;0.07,"Above Kim 7% alert — approaching 8% hard stop","OK — under 7% alert")))</f>
        <v/>
      </c>
      <c r="G77" s="66" t="str">
        <f aca="false">IF(OR(G76="",G69=""),"",IF(MAX(G69,G76)&gt;=0.08,"HARD STOP — occupancy at/above 8% of sales: STOP, CEO sign-off before responding",IF(MAX(G69,G76)&gt;0.07,"Above Kim 7% alert — approaching 8% hard stop","OK — under 7% alert")))</f>
        <v/>
      </c>
      <c r="H77" s="66" t="str">
        <f aca="false">IF(OR(H76="",H69=""),"",IF(MAX(H69,H76)&gt;=0.08,"HARD STOP — occupancy at/above 8% of sales: STOP, CEO sign-off before responding",IF(MAX(H69,H76)&gt;0.07,"Above Kim 7% alert — approaching 8% hard stop","OK — under 7% alert")))</f>
        <v/>
      </c>
    </row>
    <row r="79" customFormat="false" ht="22.35" hidden="false" customHeight="true" outlineLevel="0" collapsed="false">
      <c r="A79" s="68" t="s">
        <v>379</v>
      </c>
      <c r="B79" s="68"/>
      <c r="C79" s="68"/>
      <c r="D79" s="68"/>
      <c r="E79" s="68"/>
      <c r="F79" s="68"/>
      <c r="G79" s="68"/>
      <c r="H79" s="68"/>
      <c r="I79" s="68"/>
      <c r="J79" s="68"/>
    </row>
    <row r="81" customFormat="false" ht="15" hidden="false" customHeight="false" outlineLevel="0" collapsed="false">
      <c r="A81" s="69" t="s">
        <v>380</v>
      </c>
      <c r="B81" s="69"/>
      <c r="C81" s="69"/>
      <c r="D81" s="69"/>
      <c r="E81" s="69"/>
      <c r="F81" s="69"/>
      <c r="G81" s="69"/>
      <c r="H81" s="69"/>
      <c r="I81" s="69"/>
      <c r="J81" s="69"/>
    </row>
    <row r="84" customFormat="false" ht="15" hidden="false" customHeight="false" outlineLevel="0" collapsed="false">
      <c r="A84" s="25" t="s">
        <v>381</v>
      </c>
    </row>
    <row r="85" customFormat="false" ht="15" hidden="false" customHeight="false" outlineLevel="0" collapsed="false">
      <c r="A85" s="69" t="s">
        <v>382</v>
      </c>
      <c r="B85" s="69"/>
      <c r="C85" s="69"/>
      <c r="D85" s="69"/>
      <c r="E85" s="69"/>
      <c r="F85" s="69"/>
      <c r="G85" s="69"/>
      <c r="H85" s="69"/>
      <c r="I85" s="69"/>
      <c r="J85" s="69"/>
      <c r="K85" s="69"/>
      <c r="L85" s="69"/>
      <c r="M85" s="69"/>
      <c r="N85" s="69"/>
      <c r="O85" s="69"/>
      <c r="P85" s="69"/>
      <c r="Q85" s="69"/>
      <c r="R85" s="69"/>
      <c r="S85" s="69"/>
      <c r="T85" s="69"/>
    </row>
    <row r="86" customFormat="false" ht="15" hidden="false" customHeight="true" outlineLevel="0" collapsed="false">
      <c r="A86" s="70" t="s">
        <v>383</v>
      </c>
      <c r="B86" s="70" t="s">
        <v>384</v>
      </c>
      <c r="C86" s="71" t="s">
        <v>385</v>
      </c>
      <c r="D86" s="71"/>
      <c r="E86" s="71"/>
      <c r="F86" s="71" t="s">
        <v>386</v>
      </c>
      <c r="G86" s="71"/>
      <c r="H86" s="71"/>
      <c r="I86" s="71" t="s">
        <v>387</v>
      </c>
      <c r="J86" s="71"/>
      <c r="K86" s="71"/>
      <c r="L86" s="71" t="s">
        <v>388</v>
      </c>
      <c r="M86" s="71"/>
      <c r="N86" s="71"/>
      <c r="O86" s="71" t="s">
        <v>389</v>
      </c>
      <c r="P86" s="71"/>
      <c r="Q86" s="71"/>
      <c r="R86" s="72" t="s">
        <v>390</v>
      </c>
      <c r="S86" s="72"/>
      <c r="T86" s="72"/>
    </row>
    <row r="87" customFormat="false" ht="15" hidden="false" customHeight="false" outlineLevel="0" collapsed="false">
      <c r="A87" s="73"/>
      <c r="B87" s="73"/>
      <c r="C87" s="73" t="s">
        <v>391</v>
      </c>
      <c r="D87" s="73" t="s">
        <v>392</v>
      </c>
      <c r="E87" s="73" t="s">
        <v>393</v>
      </c>
      <c r="F87" s="73" t="s">
        <v>391</v>
      </c>
      <c r="G87" s="73" t="s">
        <v>392</v>
      </c>
      <c r="H87" s="73" t="s">
        <v>393</v>
      </c>
      <c r="I87" s="73" t="s">
        <v>391</v>
      </c>
      <c r="J87" s="73" t="s">
        <v>392</v>
      </c>
      <c r="K87" s="73" t="s">
        <v>393</v>
      </c>
      <c r="L87" s="73" t="s">
        <v>391</v>
      </c>
      <c r="M87" s="73" t="s">
        <v>392</v>
      </c>
      <c r="N87" s="73" t="s">
        <v>393</v>
      </c>
      <c r="O87" s="73" t="s">
        <v>391</v>
      </c>
      <c r="P87" s="73" t="s">
        <v>392</v>
      </c>
      <c r="Q87" s="73" t="s">
        <v>393</v>
      </c>
      <c r="R87" s="73" t="s">
        <v>391</v>
      </c>
      <c r="S87" s="73" t="s">
        <v>392</v>
      </c>
      <c r="T87" s="73" t="s">
        <v>393</v>
      </c>
    </row>
    <row r="88" customFormat="false" ht="15" hidden="false" customHeight="false" outlineLevel="0" collapsed="false">
      <c r="A88" s="74" t="n">
        <v>1</v>
      </c>
      <c r="B88" s="75" t="n">
        <v>3496000</v>
      </c>
      <c r="C88" s="76" t="n">
        <v>107000</v>
      </c>
      <c r="D88" s="76" t="n">
        <v>0</v>
      </c>
      <c r="E88" s="76" t="n">
        <v>107000</v>
      </c>
      <c r="F88" s="75" t="n">
        <f aca="false">IF(D54="","",IF(1&gt;IF(D57="",10,D57),"",D54*(1+IF(D55="",0,D55))^ROUNDDOWN((1-1)/IF(D56="",5,D56),0)))</f>
        <v>107000</v>
      </c>
      <c r="G88" s="75" t="n">
        <f aca="false">IF(F88="","",IF((IF(D64="",IF($D$35="",0,$D$35),D64))=0,0,MAX(0,3496000-(IF(D65&lt;&gt;"",D65,IF($D$37&lt;&gt;"",$D$37,IF((IF(D64="",IF($D$35="",0,$D$35),D64))=0,0,D54/(IF(D64="",IF($D$35="",0,$D$35),D64)))))))*(IF(D64="",IF($D$35="",0,$D$35),D64))))</f>
        <v>0</v>
      </c>
      <c r="H88" s="75" t="n">
        <f aca="false">IF(F88="","",F88+G88)</f>
        <v>107000</v>
      </c>
      <c r="I88" s="75" t="str">
        <f aca="false">IF(E54="","",IF(1&gt;IF(E57="",10,E57),"",E54*(1+IF(E55="",0,E55))^ROUNDDOWN((1-1)/IF(E56="",5,E56),0)))</f>
        <v/>
      </c>
      <c r="J88" s="75" t="str">
        <f aca="false">IF(I88="","",IF((IF(E64="",IF($D$35="",0,$D$35),E64))=0,0,MAX(0,3496000-(IF(E65&lt;&gt;"",E65,IF($D$37&lt;&gt;"",$D$37,IF((IF(E64="",IF($D$35="",0,$D$35),E64))=0,0,E54/(IF(E64="",IF($D$35="",0,$D$35),E64)))))))*(IF(E64="",IF($D$35="",0,$D$35),E64))))</f>
        <v/>
      </c>
      <c r="K88" s="75" t="str">
        <f aca="false">IF(I88="","",I88+J88)</f>
        <v/>
      </c>
      <c r="L88" s="75" t="str">
        <f aca="false">IF(F54="","",IF(1&gt;IF(F57="",10,F57),"",F54*(1+IF(F55="",0,F55))^ROUNDDOWN((1-1)/IF(F56="",5,F56),0)))</f>
        <v/>
      </c>
      <c r="M88" s="75" t="str">
        <f aca="false">IF(L88="","",IF((IF(F64="",IF($D$35="",0,$D$35),F64))=0,0,MAX(0,3496000-(IF(F65&lt;&gt;"",F65,IF($D$37&lt;&gt;"",$D$37,IF((IF(F64="",IF($D$35="",0,$D$35),F64))=0,0,F54/(IF(F64="",IF($D$35="",0,$D$35),F64)))))))*(IF(F64="",IF($D$35="",0,$D$35),F64))))</f>
        <v/>
      </c>
      <c r="N88" s="75" t="str">
        <f aca="false">IF(L88="","",L88+M88)</f>
        <v/>
      </c>
      <c r="O88" s="75" t="str">
        <f aca="false">IF(G54="","",IF(1&gt;IF(G57="",10,G57),"",G54*(1+IF(G55="",0,G55))^ROUNDDOWN((1-1)/IF(G56="",5,G56),0)))</f>
        <v/>
      </c>
      <c r="P88" s="75" t="str">
        <f aca="false">IF(O88="","",IF((IF(G64="",IF($D$35="",0,$D$35),G64))=0,0,MAX(0,3496000-(IF(G65&lt;&gt;"",G65,IF($D$37&lt;&gt;"",$D$37,IF((IF(G64="",IF($D$35="",0,$D$35),G64))=0,0,G54/(IF(G64="",IF($D$35="",0,$D$35),G64)))))))*(IF(G64="",IF($D$35="",0,$D$35),G64))))</f>
        <v/>
      </c>
      <c r="Q88" s="75" t="str">
        <f aca="false">IF(O88="","",O88+P88)</f>
        <v/>
      </c>
      <c r="R88" s="75" t="str">
        <f aca="false">IF(H54="","",IF(1&gt;IF(H57="",10,H57),"",H54*(1+IF(H55="",0,H55))^ROUNDDOWN((1-1)/IF(H56="",5,H56),0)))</f>
        <v/>
      </c>
      <c r="S88" s="75" t="str">
        <f aca="false">IF(R88="","",IF((IF(H64="",IF($D$35="",0,$D$35),H64))=0,0,MAX(0,3496000-(IF(H65&lt;&gt;"",H65,IF($D$37&lt;&gt;"",$D$37,IF((IF(H64="",IF($D$35="",0,$D$35),H64))=0,0,H54/(IF(H64="",IF($D$35="",0,$D$35),H64)))))))*(IF(H64="",IF($D$35="",0,$D$35),H64))))</f>
        <v/>
      </c>
      <c r="T88" s="75" t="str">
        <f aca="false">IF(R88="","",R88+S88)</f>
        <v/>
      </c>
    </row>
    <row r="89" customFormat="false" ht="15" hidden="false" customHeight="false" outlineLevel="0" collapsed="false">
      <c r="A89" s="74" t="n">
        <v>2</v>
      </c>
      <c r="B89" s="75" t="n">
        <v>3565920</v>
      </c>
      <c r="C89" s="76" t="n">
        <v>107000</v>
      </c>
      <c r="D89" s="76" t="n">
        <v>0</v>
      </c>
      <c r="E89" s="76" t="n">
        <v>107000</v>
      </c>
      <c r="F89" s="75" t="n">
        <f aca="false">IF(D54="","",IF(2&gt;IF(D57="",10,D57),"",D54*(1+IF(D55="",0,D55))^ROUNDDOWN((2-1)/IF(D56="",5,D56),0)))</f>
        <v>107000</v>
      </c>
      <c r="G89" s="75" t="n">
        <f aca="false">IF(F89="","",IF((IF(D64="",IF($D$35="",0,$D$35),D64))=0,0,MAX(0,3565920-(IF(D65&lt;&gt;"",D65,IF($D$37&lt;&gt;"",$D$37,IF((IF(D64="",IF($D$35="",0,$D$35),D64))=0,0,D54/(IF(D64="",IF($D$35="",0,$D$35),D64)))))))*(IF(D64="",IF($D$35="",0,$D$35),D64))))</f>
        <v>0</v>
      </c>
      <c r="H89" s="75" t="n">
        <f aca="false">IF(F89="","",F89+G89)</f>
        <v>107000</v>
      </c>
      <c r="I89" s="75" t="str">
        <f aca="false">IF(E54="","",IF(2&gt;IF(E57="",10,E57),"",E54*(1+IF(E55="",0,E55))^ROUNDDOWN((2-1)/IF(E56="",5,E56),0)))</f>
        <v/>
      </c>
      <c r="J89" s="75" t="str">
        <f aca="false">IF(I89="","",IF((IF(E64="",IF($D$35="",0,$D$35),E64))=0,0,MAX(0,3565920-(IF(E65&lt;&gt;"",E65,IF($D$37&lt;&gt;"",$D$37,IF((IF(E64="",IF($D$35="",0,$D$35),E64))=0,0,E54/(IF(E64="",IF($D$35="",0,$D$35),E64)))))))*(IF(E64="",IF($D$35="",0,$D$35),E64))))</f>
        <v/>
      </c>
      <c r="K89" s="75" t="str">
        <f aca="false">IF(I89="","",I89+J89)</f>
        <v/>
      </c>
      <c r="L89" s="75" t="str">
        <f aca="false">IF(F54="","",IF(2&gt;IF(F57="",10,F57),"",F54*(1+IF(F55="",0,F55))^ROUNDDOWN((2-1)/IF(F56="",5,F56),0)))</f>
        <v/>
      </c>
      <c r="M89" s="75" t="str">
        <f aca="false">IF(L89="","",IF((IF(F64="",IF($D$35="",0,$D$35),F64))=0,0,MAX(0,3565920-(IF(F65&lt;&gt;"",F65,IF($D$37&lt;&gt;"",$D$37,IF((IF(F64="",IF($D$35="",0,$D$35),F64))=0,0,F54/(IF(F64="",IF($D$35="",0,$D$35),F64)))))))*(IF(F64="",IF($D$35="",0,$D$35),F64))))</f>
        <v/>
      </c>
      <c r="N89" s="75" t="str">
        <f aca="false">IF(L89="","",L89+M89)</f>
        <v/>
      </c>
      <c r="O89" s="75" t="str">
        <f aca="false">IF(G54="","",IF(2&gt;IF(G57="",10,G57),"",G54*(1+IF(G55="",0,G55))^ROUNDDOWN((2-1)/IF(G56="",5,G56),0)))</f>
        <v/>
      </c>
      <c r="P89" s="75" t="str">
        <f aca="false">IF(O89="","",IF((IF(G64="",IF($D$35="",0,$D$35),G64))=0,0,MAX(0,3565920-(IF(G65&lt;&gt;"",G65,IF($D$37&lt;&gt;"",$D$37,IF((IF(G64="",IF($D$35="",0,$D$35),G64))=0,0,G54/(IF(G64="",IF($D$35="",0,$D$35),G64)))))))*(IF(G64="",IF($D$35="",0,$D$35),G64))))</f>
        <v/>
      </c>
      <c r="Q89" s="75" t="str">
        <f aca="false">IF(O89="","",O89+P89)</f>
        <v/>
      </c>
      <c r="R89" s="75" t="str">
        <f aca="false">IF(H54="","",IF(2&gt;IF(H57="",10,H57),"",H54*(1+IF(H55="",0,H55))^ROUNDDOWN((2-1)/IF(H56="",5,H56),0)))</f>
        <v/>
      </c>
      <c r="S89" s="75" t="str">
        <f aca="false">IF(R89="","",IF((IF(H64="",IF($D$35="",0,$D$35),H64))=0,0,MAX(0,3565920-(IF(H65&lt;&gt;"",H65,IF($D$37&lt;&gt;"",$D$37,IF((IF(H64="",IF($D$35="",0,$D$35),H64))=0,0,H54/(IF(H64="",IF($D$35="",0,$D$35),H64)))))))*(IF(H64="",IF($D$35="",0,$D$35),H64))))</f>
        <v/>
      </c>
      <c r="T89" s="75" t="str">
        <f aca="false">IF(R89="","",R89+S89)</f>
        <v/>
      </c>
    </row>
    <row r="90" customFormat="false" ht="15" hidden="false" customHeight="false" outlineLevel="0" collapsed="false">
      <c r="A90" s="74" t="n">
        <v>3</v>
      </c>
      <c r="B90" s="75" t="n">
        <v>3637238</v>
      </c>
      <c r="C90" s="76" t="n">
        <v>107000</v>
      </c>
      <c r="D90" s="76" t="n">
        <v>0</v>
      </c>
      <c r="E90" s="76" t="n">
        <v>107000</v>
      </c>
      <c r="F90" s="75" t="n">
        <f aca="false">IF(D54="","",IF(3&gt;IF(D57="",10,D57),"",D54*(1+IF(D55="",0,D55))^ROUNDDOWN((3-1)/IF(D56="",5,D56),0)))</f>
        <v>107000</v>
      </c>
      <c r="G90" s="75" t="n">
        <f aca="false">IF(F90="","",IF((IF(D64="",IF($D$35="",0,$D$35),D64))=0,0,MAX(0,3637238.4-(IF(D65&lt;&gt;"",D65,IF($D$37&lt;&gt;"",$D$37,IF((IF(D64="",IF($D$35="",0,$D$35),D64))=0,0,D54/(IF(D64="",IF($D$35="",0,$D$35),D64)))))))*(IF(D64="",IF($D$35="",0,$D$35),D64))))</f>
        <v>0</v>
      </c>
      <c r="H90" s="75" t="n">
        <f aca="false">IF(F90="","",F90+G90)</f>
        <v>107000</v>
      </c>
      <c r="I90" s="75" t="str">
        <f aca="false">IF(E54="","",IF(3&gt;IF(E57="",10,E57),"",E54*(1+IF(E55="",0,E55))^ROUNDDOWN((3-1)/IF(E56="",5,E56),0)))</f>
        <v/>
      </c>
      <c r="J90" s="75" t="str">
        <f aca="false">IF(I90="","",IF((IF(E64="",IF($D$35="",0,$D$35),E64))=0,0,MAX(0,3637238.4-(IF(E65&lt;&gt;"",E65,IF($D$37&lt;&gt;"",$D$37,IF((IF(E64="",IF($D$35="",0,$D$35),E64))=0,0,E54/(IF(E64="",IF($D$35="",0,$D$35),E64)))))))*(IF(E64="",IF($D$35="",0,$D$35),E64))))</f>
        <v/>
      </c>
      <c r="K90" s="75" t="str">
        <f aca="false">IF(I90="","",I90+J90)</f>
        <v/>
      </c>
      <c r="L90" s="75" t="str">
        <f aca="false">IF(F54="","",IF(3&gt;IF(F57="",10,F57),"",F54*(1+IF(F55="",0,F55))^ROUNDDOWN((3-1)/IF(F56="",5,F56),0)))</f>
        <v/>
      </c>
      <c r="M90" s="75" t="str">
        <f aca="false">IF(L90="","",IF((IF(F64="",IF($D$35="",0,$D$35),F64))=0,0,MAX(0,3637238.4-(IF(F65&lt;&gt;"",F65,IF($D$37&lt;&gt;"",$D$37,IF((IF(F64="",IF($D$35="",0,$D$35),F64))=0,0,F54/(IF(F64="",IF($D$35="",0,$D$35),F64)))))))*(IF(F64="",IF($D$35="",0,$D$35),F64))))</f>
        <v/>
      </c>
      <c r="N90" s="75" t="str">
        <f aca="false">IF(L90="","",L90+M90)</f>
        <v/>
      </c>
      <c r="O90" s="75" t="str">
        <f aca="false">IF(G54="","",IF(3&gt;IF(G57="",10,G57),"",G54*(1+IF(G55="",0,G55))^ROUNDDOWN((3-1)/IF(G56="",5,G56),0)))</f>
        <v/>
      </c>
      <c r="P90" s="75" t="str">
        <f aca="false">IF(O90="","",IF((IF(G64="",IF($D$35="",0,$D$35),G64))=0,0,MAX(0,3637238.4-(IF(G65&lt;&gt;"",G65,IF($D$37&lt;&gt;"",$D$37,IF((IF(G64="",IF($D$35="",0,$D$35),G64))=0,0,G54/(IF(G64="",IF($D$35="",0,$D$35),G64)))))))*(IF(G64="",IF($D$35="",0,$D$35),G64))))</f>
        <v/>
      </c>
      <c r="Q90" s="75" t="str">
        <f aca="false">IF(O90="","",O90+P90)</f>
        <v/>
      </c>
      <c r="R90" s="75" t="str">
        <f aca="false">IF(H54="","",IF(3&gt;IF(H57="",10,H57),"",H54*(1+IF(H55="",0,H55))^ROUNDDOWN((3-1)/IF(H56="",5,H56),0)))</f>
        <v/>
      </c>
      <c r="S90" s="75" t="str">
        <f aca="false">IF(R90="","",IF((IF(H64="",IF($D$35="",0,$D$35),H64))=0,0,MAX(0,3637238.4-(IF(H65&lt;&gt;"",H65,IF($D$37&lt;&gt;"",$D$37,IF((IF(H64="",IF($D$35="",0,$D$35),H64))=0,0,H54/(IF(H64="",IF($D$35="",0,$D$35),H64)))))))*(IF(H64="",IF($D$35="",0,$D$35),H64))))</f>
        <v/>
      </c>
      <c r="T90" s="75" t="str">
        <f aca="false">IF(R90="","",R90+S90)</f>
        <v/>
      </c>
    </row>
    <row r="91" customFormat="false" ht="15" hidden="false" customHeight="false" outlineLevel="0" collapsed="false">
      <c r="A91" s="74" t="n">
        <v>4</v>
      </c>
      <c r="B91" s="75" t="n">
        <v>3709983</v>
      </c>
      <c r="C91" s="76" t="n">
        <v>107000</v>
      </c>
      <c r="D91" s="76" t="n">
        <v>0</v>
      </c>
      <c r="E91" s="76" t="n">
        <v>107000</v>
      </c>
      <c r="F91" s="75" t="n">
        <f aca="false">IF(D54="","",IF(4&gt;IF(D57="",10,D57),"",D54*(1+IF(D55="",0,D55))^ROUNDDOWN((4-1)/IF(D56="",5,D56),0)))</f>
        <v>107000</v>
      </c>
      <c r="G91" s="75" t="n">
        <f aca="false">IF(F91="","",IF((IF(D64="",IF($D$35="",0,$D$35),D64))=0,0,MAX(0,3709983.17-(IF(D65&lt;&gt;"",D65,IF($D$37&lt;&gt;"",$D$37,IF((IF(D64="",IF($D$35="",0,$D$35),D64))=0,0,D54/(IF(D64="",IF($D$35="",0,$D$35),D64)))))))*(IF(D64="",IF($D$35="",0,$D$35),D64))))</f>
        <v>0</v>
      </c>
      <c r="H91" s="75" t="n">
        <f aca="false">IF(F91="","",F91+G91)</f>
        <v>107000</v>
      </c>
      <c r="I91" s="75" t="str">
        <f aca="false">IF(E54="","",IF(4&gt;IF(E57="",10,E57),"",E54*(1+IF(E55="",0,E55))^ROUNDDOWN((4-1)/IF(E56="",5,E56),0)))</f>
        <v/>
      </c>
      <c r="J91" s="75" t="str">
        <f aca="false">IF(I91="","",IF((IF(E64="",IF($D$35="",0,$D$35),E64))=0,0,MAX(0,3709983.17-(IF(E65&lt;&gt;"",E65,IF($D$37&lt;&gt;"",$D$37,IF((IF(E64="",IF($D$35="",0,$D$35),E64))=0,0,E54/(IF(E64="",IF($D$35="",0,$D$35),E64)))))))*(IF(E64="",IF($D$35="",0,$D$35),E64))))</f>
        <v/>
      </c>
      <c r="K91" s="75" t="str">
        <f aca="false">IF(I91="","",I91+J91)</f>
        <v/>
      </c>
      <c r="L91" s="75" t="str">
        <f aca="false">IF(F54="","",IF(4&gt;IF(F57="",10,F57),"",F54*(1+IF(F55="",0,F55))^ROUNDDOWN((4-1)/IF(F56="",5,F56),0)))</f>
        <v/>
      </c>
      <c r="M91" s="75" t="str">
        <f aca="false">IF(L91="","",IF((IF(F64="",IF($D$35="",0,$D$35),F64))=0,0,MAX(0,3709983.17-(IF(F65&lt;&gt;"",F65,IF($D$37&lt;&gt;"",$D$37,IF((IF(F64="",IF($D$35="",0,$D$35),F64))=0,0,F54/(IF(F64="",IF($D$35="",0,$D$35),F64)))))))*(IF(F64="",IF($D$35="",0,$D$35),F64))))</f>
        <v/>
      </c>
      <c r="N91" s="75" t="str">
        <f aca="false">IF(L91="","",L91+M91)</f>
        <v/>
      </c>
      <c r="O91" s="75" t="str">
        <f aca="false">IF(G54="","",IF(4&gt;IF(G57="",10,G57),"",G54*(1+IF(G55="",0,G55))^ROUNDDOWN((4-1)/IF(G56="",5,G56),0)))</f>
        <v/>
      </c>
      <c r="P91" s="75" t="str">
        <f aca="false">IF(O91="","",IF((IF(G64="",IF($D$35="",0,$D$35),G64))=0,0,MAX(0,3709983.17-(IF(G65&lt;&gt;"",G65,IF($D$37&lt;&gt;"",$D$37,IF((IF(G64="",IF($D$35="",0,$D$35),G64))=0,0,G54/(IF(G64="",IF($D$35="",0,$D$35),G64)))))))*(IF(G64="",IF($D$35="",0,$D$35),G64))))</f>
        <v/>
      </c>
      <c r="Q91" s="75" t="str">
        <f aca="false">IF(O91="","",O91+P91)</f>
        <v/>
      </c>
      <c r="R91" s="75" t="str">
        <f aca="false">IF(H54="","",IF(4&gt;IF(H57="",10,H57),"",H54*(1+IF(H55="",0,H55))^ROUNDDOWN((4-1)/IF(H56="",5,H56),0)))</f>
        <v/>
      </c>
      <c r="S91" s="75" t="str">
        <f aca="false">IF(R91="","",IF((IF(H64="",IF($D$35="",0,$D$35),H64))=0,0,MAX(0,3709983.17-(IF(H65&lt;&gt;"",H65,IF($D$37&lt;&gt;"",$D$37,IF((IF(H64="",IF($D$35="",0,$D$35),H64))=0,0,H54/(IF(H64="",IF($D$35="",0,$D$35),H64)))))))*(IF(H64="",IF($D$35="",0,$D$35),H64))))</f>
        <v/>
      </c>
      <c r="T91" s="75" t="str">
        <f aca="false">IF(R91="","",R91+S91)</f>
        <v/>
      </c>
    </row>
    <row r="92" customFormat="false" ht="15" hidden="false" customHeight="false" outlineLevel="0" collapsed="false">
      <c r="A92" s="74" t="n">
        <v>5</v>
      </c>
      <c r="B92" s="75" t="n">
        <v>3784183</v>
      </c>
      <c r="C92" s="76" t="n">
        <v>107000</v>
      </c>
      <c r="D92" s="76" t="n">
        <v>0</v>
      </c>
      <c r="E92" s="76" t="n">
        <v>107000</v>
      </c>
      <c r="F92" s="75" t="n">
        <f aca="false">IF(D54="","",IF(5&gt;IF(D57="",10,D57),"",D54*(1+IF(D55="",0,D55))^ROUNDDOWN((5-1)/IF(D56="",5,D56),0)))</f>
        <v>107000</v>
      </c>
      <c r="G92" s="75" t="n">
        <f aca="false">IF(F92="","",IF((IF(D64="",IF($D$35="",0,$D$35),D64))=0,0,MAX(0,3784182.83-(IF(D65&lt;&gt;"",D65,IF($D$37&lt;&gt;"",$D$37,IF((IF(D64="",IF($D$35="",0,$D$35),D64))=0,0,D54/(IF(D64="",IF($D$35="",0,$D$35),D64)))))))*(IF(D64="",IF($D$35="",0,$D$35),D64))))</f>
        <v>0</v>
      </c>
      <c r="H92" s="75" t="n">
        <f aca="false">IF(F92="","",F92+G92)</f>
        <v>107000</v>
      </c>
      <c r="I92" s="75" t="str">
        <f aca="false">IF(E54="","",IF(5&gt;IF(E57="",10,E57),"",E54*(1+IF(E55="",0,E55))^ROUNDDOWN((5-1)/IF(E56="",5,E56),0)))</f>
        <v/>
      </c>
      <c r="J92" s="75" t="str">
        <f aca="false">IF(I92="","",IF((IF(E64="",IF($D$35="",0,$D$35),E64))=0,0,MAX(0,3784182.83-(IF(E65&lt;&gt;"",E65,IF($D$37&lt;&gt;"",$D$37,IF((IF(E64="",IF($D$35="",0,$D$35),E64))=0,0,E54/(IF(E64="",IF($D$35="",0,$D$35),E64)))))))*(IF(E64="",IF($D$35="",0,$D$35),E64))))</f>
        <v/>
      </c>
      <c r="K92" s="75" t="str">
        <f aca="false">IF(I92="","",I92+J92)</f>
        <v/>
      </c>
      <c r="L92" s="75" t="str">
        <f aca="false">IF(F54="","",IF(5&gt;IF(F57="",10,F57),"",F54*(1+IF(F55="",0,F55))^ROUNDDOWN((5-1)/IF(F56="",5,F56),0)))</f>
        <v/>
      </c>
      <c r="M92" s="75" t="str">
        <f aca="false">IF(L92="","",IF((IF(F64="",IF($D$35="",0,$D$35),F64))=0,0,MAX(0,3784182.83-(IF(F65&lt;&gt;"",F65,IF($D$37&lt;&gt;"",$D$37,IF((IF(F64="",IF($D$35="",0,$D$35),F64))=0,0,F54/(IF(F64="",IF($D$35="",0,$D$35),F64)))))))*(IF(F64="",IF($D$35="",0,$D$35),F64))))</f>
        <v/>
      </c>
      <c r="N92" s="75" t="str">
        <f aca="false">IF(L92="","",L92+M92)</f>
        <v/>
      </c>
      <c r="O92" s="75" t="str">
        <f aca="false">IF(G54="","",IF(5&gt;IF(G57="",10,G57),"",G54*(1+IF(G55="",0,G55))^ROUNDDOWN((5-1)/IF(G56="",5,G56),0)))</f>
        <v/>
      </c>
      <c r="P92" s="75" t="str">
        <f aca="false">IF(O92="","",IF((IF(G64="",IF($D$35="",0,$D$35),G64))=0,0,MAX(0,3784182.83-(IF(G65&lt;&gt;"",G65,IF($D$37&lt;&gt;"",$D$37,IF((IF(G64="",IF($D$35="",0,$D$35),G64))=0,0,G54/(IF(G64="",IF($D$35="",0,$D$35),G64)))))))*(IF(G64="",IF($D$35="",0,$D$35),G64))))</f>
        <v/>
      </c>
      <c r="Q92" s="75" t="str">
        <f aca="false">IF(O92="","",O92+P92)</f>
        <v/>
      </c>
      <c r="R92" s="75" t="str">
        <f aca="false">IF(H54="","",IF(5&gt;IF(H57="",10,H57),"",H54*(1+IF(H55="",0,H55))^ROUNDDOWN((5-1)/IF(H56="",5,H56),0)))</f>
        <v/>
      </c>
      <c r="S92" s="75" t="str">
        <f aca="false">IF(R92="","",IF((IF(H64="",IF($D$35="",0,$D$35),H64))=0,0,MAX(0,3784182.83-(IF(H65&lt;&gt;"",H65,IF($D$37&lt;&gt;"",$D$37,IF((IF(H64="",IF($D$35="",0,$D$35),H64))=0,0,H54/(IF(H64="",IF($D$35="",0,$D$35),H64)))))))*(IF(H64="",IF($D$35="",0,$D$35),H64))))</f>
        <v/>
      </c>
      <c r="T92" s="75" t="str">
        <f aca="false">IF(R92="","",R92+S92)</f>
        <v/>
      </c>
    </row>
    <row r="93" customFormat="false" ht="15" hidden="false" customHeight="false" outlineLevel="0" collapsed="false">
      <c r="A93" s="74" t="n">
        <v>6</v>
      </c>
      <c r="B93" s="75" t="n">
        <v>3859866</v>
      </c>
      <c r="C93" s="76" t="n">
        <v>115917</v>
      </c>
      <c r="D93" s="76" t="n">
        <v>0</v>
      </c>
      <c r="E93" s="76" t="n">
        <v>115917</v>
      </c>
      <c r="F93" s="75" t="n">
        <f aca="false">IF(D54="","",IF(6&gt;IF(D57="",10,D57),"",D54*(1+IF(D55="",0,D55))^ROUNDDOWN((6-1)/IF(D56="",5,D56),0)))</f>
        <v>109140</v>
      </c>
      <c r="G93" s="75" t="n">
        <f aca="false">IF(F93="","",IF((IF(D64="",IF($D$35="",0,$D$35),D64))=0,0,MAX(0,3859866.49-(IF(D65&lt;&gt;"",D65,IF($D$37&lt;&gt;"",$D$37,IF((IF(D64="",IF($D$35="",0,$D$35),D64))=0,0,D54/(IF(D64="",IF($D$35="",0,$D$35),D64)))))))*(IF(D64="",IF($D$35="",0,$D$35),D64))))</f>
        <v>0</v>
      </c>
      <c r="H93" s="75" t="n">
        <f aca="false">IF(F93="","",F93+G93)</f>
        <v>109140</v>
      </c>
      <c r="I93" s="75" t="str">
        <f aca="false">IF(E54="","",IF(6&gt;IF(E57="",10,E57),"",E54*(1+IF(E55="",0,E55))^ROUNDDOWN((6-1)/IF(E56="",5,E56),0)))</f>
        <v/>
      </c>
      <c r="J93" s="75" t="str">
        <f aca="false">IF(I93="","",IF((IF(E64="",IF($D$35="",0,$D$35),E64))=0,0,MAX(0,3859866.49-(IF(E65&lt;&gt;"",E65,IF($D$37&lt;&gt;"",$D$37,IF((IF(E64="",IF($D$35="",0,$D$35),E64))=0,0,E54/(IF(E64="",IF($D$35="",0,$D$35),E64)))))))*(IF(E64="",IF($D$35="",0,$D$35),E64))))</f>
        <v/>
      </c>
      <c r="K93" s="75" t="str">
        <f aca="false">IF(I93="","",I93+J93)</f>
        <v/>
      </c>
      <c r="L93" s="75" t="str">
        <f aca="false">IF(F54="","",IF(6&gt;IF(F57="",10,F57),"",F54*(1+IF(F55="",0,F55))^ROUNDDOWN((6-1)/IF(F56="",5,F56),0)))</f>
        <v/>
      </c>
      <c r="M93" s="75" t="str">
        <f aca="false">IF(L93="","",IF((IF(F64="",IF($D$35="",0,$D$35),F64))=0,0,MAX(0,3859866.49-(IF(F65&lt;&gt;"",F65,IF($D$37&lt;&gt;"",$D$37,IF((IF(F64="",IF($D$35="",0,$D$35),F64))=0,0,F54/(IF(F64="",IF($D$35="",0,$D$35),F64)))))))*(IF(F64="",IF($D$35="",0,$D$35),F64))))</f>
        <v/>
      </c>
      <c r="N93" s="75" t="str">
        <f aca="false">IF(L93="","",L93+M93)</f>
        <v/>
      </c>
      <c r="O93" s="75" t="str">
        <f aca="false">IF(G54="","",IF(6&gt;IF(G57="",10,G57),"",G54*(1+IF(G55="",0,G55))^ROUNDDOWN((6-1)/IF(G56="",5,G56),0)))</f>
        <v/>
      </c>
      <c r="P93" s="75" t="str">
        <f aca="false">IF(O93="","",IF((IF(G64="",IF($D$35="",0,$D$35),G64))=0,0,MAX(0,3859866.49-(IF(G65&lt;&gt;"",G65,IF($D$37&lt;&gt;"",$D$37,IF((IF(G64="",IF($D$35="",0,$D$35),G64))=0,0,G54/(IF(G64="",IF($D$35="",0,$D$35),G64)))))))*(IF(G64="",IF($D$35="",0,$D$35),G64))))</f>
        <v/>
      </c>
      <c r="Q93" s="75" t="str">
        <f aca="false">IF(O93="","",O93+P93)</f>
        <v/>
      </c>
      <c r="R93" s="75" t="str">
        <f aca="false">IF(H54="","",IF(6&gt;IF(H57="",10,H57),"",H54*(1+IF(H55="",0,H55))^ROUNDDOWN((6-1)/IF(H56="",5,H56),0)))</f>
        <v/>
      </c>
      <c r="S93" s="75" t="str">
        <f aca="false">IF(R93="","",IF((IF(H64="",IF($D$35="",0,$D$35),H64))=0,0,MAX(0,3859866.49-(IF(H65&lt;&gt;"",H65,IF($D$37&lt;&gt;"",$D$37,IF((IF(H64="",IF($D$35="",0,$D$35),H64))=0,0,H54/(IF(H64="",IF($D$35="",0,$D$35),H64)))))))*(IF(H64="",IF($D$35="",0,$D$35),H64))))</f>
        <v/>
      </c>
      <c r="T93" s="75" t="str">
        <f aca="false">IF(R93="","",R93+S93)</f>
        <v/>
      </c>
    </row>
    <row r="94" customFormat="false" ht="15" hidden="false" customHeight="false" outlineLevel="0" collapsed="false">
      <c r="A94" s="74" t="n">
        <v>7</v>
      </c>
      <c r="B94" s="75" t="n">
        <v>3937064</v>
      </c>
      <c r="C94" s="76" t="n">
        <v>115917</v>
      </c>
      <c r="D94" s="76" t="n">
        <v>0</v>
      </c>
      <c r="E94" s="76" t="n">
        <v>115917</v>
      </c>
      <c r="F94" s="75" t="n">
        <f aca="false">IF(D54="","",IF(7&gt;IF(D57="",10,D57),"",D54*(1+IF(D55="",0,D55))^ROUNDDOWN((7-1)/IF(D56="",5,D56),0)))</f>
        <v>109140</v>
      </c>
      <c r="G94" s="75" t="n">
        <f aca="false">IF(F94="","",IF((IF(D64="",IF($D$35="",0,$D$35),D64))=0,0,MAX(0,3937063.82-(IF(D65&lt;&gt;"",D65,IF($D$37&lt;&gt;"",$D$37,IF((IF(D64="",IF($D$35="",0,$D$35),D64))=0,0,D54/(IF(D64="",IF($D$35="",0,$D$35),D64)))))))*(IF(D64="",IF($D$35="",0,$D$35),D64))))</f>
        <v>0</v>
      </c>
      <c r="H94" s="75" t="n">
        <f aca="false">IF(F94="","",F94+G94)</f>
        <v>109140</v>
      </c>
      <c r="I94" s="75" t="str">
        <f aca="false">IF(E54="","",IF(7&gt;IF(E57="",10,E57),"",E54*(1+IF(E55="",0,E55))^ROUNDDOWN((7-1)/IF(E56="",5,E56),0)))</f>
        <v/>
      </c>
      <c r="J94" s="75" t="str">
        <f aca="false">IF(I94="","",IF((IF(E64="",IF($D$35="",0,$D$35),E64))=0,0,MAX(0,3937063.82-(IF(E65&lt;&gt;"",E65,IF($D$37&lt;&gt;"",$D$37,IF((IF(E64="",IF($D$35="",0,$D$35),E64))=0,0,E54/(IF(E64="",IF($D$35="",0,$D$35),E64)))))))*(IF(E64="",IF($D$35="",0,$D$35),E64))))</f>
        <v/>
      </c>
      <c r="K94" s="75" t="str">
        <f aca="false">IF(I94="","",I94+J94)</f>
        <v/>
      </c>
      <c r="L94" s="75" t="str">
        <f aca="false">IF(F54="","",IF(7&gt;IF(F57="",10,F57),"",F54*(1+IF(F55="",0,F55))^ROUNDDOWN((7-1)/IF(F56="",5,F56),0)))</f>
        <v/>
      </c>
      <c r="M94" s="75" t="str">
        <f aca="false">IF(L94="","",IF((IF(F64="",IF($D$35="",0,$D$35),F64))=0,0,MAX(0,3937063.82-(IF(F65&lt;&gt;"",F65,IF($D$37&lt;&gt;"",$D$37,IF((IF(F64="",IF($D$35="",0,$D$35),F64))=0,0,F54/(IF(F64="",IF($D$35="",0,$D$35),F64)))))))*(IF(F64="",IF($D$35="",0,$D$35),F64))))</f>
        <v/>
      </c>
      <c r="N94" s="75" t="str">
        <f aca="false">IF(L94="","",L94+M94)</f>
        <v/>
      </c>
      <c r="O94" s="75" t="str">
        <f aca="false">IF(G54="","",IF(7&gt;IF(G57="",10,G57),"",G54*(1+IF(G55="",0,G55))^ROUNDDOWN((7-1)/IF(G56="",5,G56),0)))</f>
        <v/>
      </c>
      <c r="P94" s="75" t="str">
        <f aca="false">IF(O94="","",IF((IF(G64="",IF($D$35="",0,$D$35),G64))=0,0,MAX(0,3937063.82-(IF(G65&lt;&gt;"",G65,IF($D$37&lt;&gt;"",$D$37,IF((IF(G64="",IF($D$35="",0,$D$35),G64))=0,0,G54/(IF(G64="",IF($D$35="",0,$D$35),G64)))))))*(IF(G64="",IF($D$35="",0,$D$35),G64))))</f>
        <v/>
      </c>
      <c r="Q94" s="75" t="str">
        <f aca="false">IF(O94="","",O94+P94)</f>
        <v/>
      </c>
      <c r="R94" s="75" t="str">
        <f aca="false">IF(H54="","",IF(7&gt;IF(H57="",10,H57),"",H54*(1+IF(H55="",0,H55))^ROUNDDOWN((7-1)/IF(H56="",5,H56),0)))</f>
        <v/>
      </c>
      <c r="S94" s="75" t="str">
        <f aca="false">IF(R94="","",IF((IF(H64="",IF($D$35="",0,$D$35),H64))=0,0,MAX(0,3937063.82-(IF(H65&lt;&gt;"",H65,IF($D$37&lt;&gt;"",$D$37,IF((IF(H64="",IF($D$35="",0,$D$35),H64))=0,0,H54/(IF(H64="",IF($D$35="",0,$D$35),H64)))))))*(IF(H64="",IF($D$35="",0,$D$35),H64))))</f>
        <v/>
      </c>
      <c r="T94" s="75" t="str">
        <f aca="false">IF(R94="","",R94+S94)</f>
        <v/>
      </c>
    </row>
    <row r="95" customFormat="false" ht="15" hidden="false" customHeight="false" outlineLevel="0" collapsed="false">
      <c r="A95" s="74" t="n">
        <v>8</v>
      </c>
      <c r="B95" s="75" t="n">
        <v>4015805</v>
      </c>
      <c r="C95" s="76" t="n">
        <v>115917</v>
      </c>
      <c r="D95" s="76" t="n">
        <v>0</v>
      </c>
      <c r="E95" s="76" t="n">
        <v>115917</v>
      </c>
      <c r="F95" s="75" t="n">
        <f aca="false">IF(D54="","",IF(8&gt;IF(D57="",10,D57),"",D54*(1+IF(D55="",0,D55))^ROUNDDOWN((8-1)/IF(D56="",5,D56),0)))</f>
        <v>109140</v>
      </c>
      <c r="G95" s="75" t="n">
        <f aca="false">IF(F95="","",IF((IF(D64="",IF($D$35="",0,$D$35),D64))=0,0,MAX(0,4015805.09-(IF(D65&lt;&gt;"",D65,IF($D$37&lt;&gt;"",$D$37,IF((IF(D64="",IF($D$35="",0,$D$35),D64))=0,0,D54/(IF(D64="",IF($D$35="",0,$D$35),D64)))))))*(IF(D64="",IF($D$35="",0,$D$35),D64))))</f>
        <v>0</v>
      </c>
      <c r="H95" s="75" t="n">
        <f aca="false">IF(F95="","",F95+G95)</f>
        <v>109140</v>
      </c>
      <c r="I95" s="75" t="str">
        <f aca="false">IF(E54="","",IF(8&gt;IF(E57="",10,E57),"",E54*(1+IF(E55="",0,E55))^ROUNDDOWN((8-1)/IF(E56="",5,E56),0)))</f>
        <v/>
      </c>
      <c r="J95" s="75" t="str">
        <f aca="false">IF(I95="","",IF((IF(E64="",IF($D$35="",0,$D$35),E64))=0,0,MAX(0,4015805.09-(IF(E65&lt;&gt;"",E65,IF($D$37&lt;&gt;"",$D$37,IF((IF(E64="",IF($D$35="",0,$D$35),E64))=0,0,E54/(IF(E64="",IF($D$35="",0,$D$35),E64)))))))*(IF(E64="",IF($D$35="",0,$D$35),E64))))</f>
        <v/>
      </c>
      <c r="K95" s="75" t="str">
        <f aca="false">IF(I95="","",I95+J95)</f>
        <v/>
      </c>
      <c r="L95" s="75" t="str">
        <f aca="false">IF(F54="","",IF(8&gt;IF(F57="",10,F57),"",F54*(1+IF(F55="",0,F55))^ROUNDDOWN((8-1)/IF(F56="",5,F56),0)))</f>
        <v/>
      </c>
      <c r="M95" s="75" t="str">
        <f aca="false">IF(L95="","",IF((IF(F64="",IF($D$35="",0,$D$35),F64))=0,0,MAX(0,4015805.09-(IF(F65&lt;&gt;"",F65,IF($D$37&lt;&gt;"",$D$37,IF((IF(F64="",IF($D$35="",0,$D$35),F64))=0,0,F54/(IF(F64="",IF($D$35="",0,$D$35),F64)))))))*(IF(F64="",IF($D$35="",0,$D$35),F64))))</f>
        <v/>
      </c>
      <c r="N95" s="75" t="str">
        <f aca="false">IF(L95="","",L95+M95)</f>
        <v/>
      </c>
      <c r="O95" s="75" t="str">
        <f aca="false">IF(G54="","",IF(8&gt;IF(G57="",10,G57),"",G54*(1+IF(G55="",0,G55))^ROUNDDOWN((8-1)/IF(G56="",5,G56),0)))</f>
        <v/>
      </c>
      <c r="P95" s="75" t="str">
        <f aca="false">IF(O95="","",IF((IF(G64="",IF($D$35="",0,$D$35),G64))=0,0,MAX(0,4015805.09-(IF(G65&lt;&gt;"",G65,IF($D$37&lt;&gt;"",$D$37,IF((IF(G64="",IF($D$35="",0,$D$35),G64))=0,0,G54/(IF(G64="",IF($D$35="",0,$D$35),G64)))))))*(IF(G64="",IF($D$35="",0,$D$35),G64))))</f>
        <v/>
      </c>
      <c r="Q95" s="75" t="str">
        <f aca="false">IF(O95="","",O95+P95)</f>
        <v/>
      </c>
      <c r="R95" s="75" t="str">
        <f aca="false">IF(H54="","",IF(8&gt;IF(H57="",10,H57),"",H54*(1+IF(H55="",0,H55))^ROUNDDOWN((8-1)/IF(H56="",5,H56),0)))</f>
        <v/>
      </c>
      <c r="S95" s="75" t="str">
        <f aca="false">IF(R95="","",IF((IF(H64="",IF($D$35="",0,$D$35),H64))=0,0,MAX(0,4015805.09-(IF(H65&lt;&gt;"",H65,IF($D$37&lt;&gt;"",$D$37,IF((IF(H64="",IF($D$35="",0,$D$35),H64))=0,0,H54/(IF(H64="",IF($D$35="",0,$D$35),H64)))))))*(IF(H64="",IF($D$35="",0,$D$35),H64))))</f>
        <v/>
      </c>
      <c r="T95" s="75" t="str">
        <f aca="false">IF(R95="","",R95+S95)</f>
        <v/>
      </c>
    </row>
    <row r="96" customFormat="false" ht="15" hidden="false" customHeight="false" outlineLevel="0" collapsed="false">
      <c r="A96" s="74" t="n">
        <v>9</v>
      </c>
      <c r="B96" s="75" t="n">
        <v>4096121</v>
      </c>
      <c r="C96" s="76" t="n">
        <v>115917</v>
      </c>
      <c r="D96" s="76" t="n">
        <v>0</v>
      </c>
      <c r="E96" s="76" t="n">
        <v>115917</v>
      </c>
      <c r="F96" s="75" t="n">
        <f aca="false">IF(D54="","",IF(9&gt;IF(D57="",10,D57),"",D54*(1+IF(D55="",0,D55))^ROUNDDOWN((9-1)/IF(D56="",5,D56),0)))</f>
        <v>109140</v>
      </c>
      <c r="G96" s="75" t="n">
        <f aca="false">IF(F96="","",IF((IF(D64="",IF($D$35="",0,$D$35),D64))=0,0,MAX(0,4096121.2-(IF(D65&lt;&gt;"",D65,IF($D$37&lt;&gt;"",$D$37,IF((IF(D64="",IF($D$35="",0,$D$35),D64))=0,0,D54/(IF(D64="",IF($D$35="",0,$D$35),D64)))))))*(IF(D64="",IF($D$35="",0,$D$35),D64))))</f>
        <v>0</v>
      </c>
      <c r="H96" s="75" t="n">
        <f aca="false">IF(F96="","",F96+G96)</f>
        <v>109140</v>
      </c>
      <c r="I96" s="75" t="str">
        <f aca="false">IF(E54="","",IF(9&gt;IF(E57="",10,E57),"",E54*(1+IF(E55="",0,E55))^ROUNDDOWN((9-1)/IF(E56="",5,E56),0)))</f>
        <v/>
      </c>
      <c r="J96" s="75" t="str">
        <f aca="false">IF(I96="","",IF((IF(E64="",IF($D$35="",0,$D$35),E64))=0,0,MAX(0,4096121.2-(IF(E65&lt;&gt;"",E65,IF($D$37&lt;&gt;"",$D$37,IF((IF(E64="",IF($D$35="",0,$D$35),E64))=0,0,E54/(IF(E64="",IF($D$35="",0,$D$35),E64)))))))*(IF(E64="",IF($D$35="",0,$D$35),E64))))</f>
        <v/>
      </c>
      <c r="K96" s="75" t="str">
        <f aca="false">IF(I96="","",I96+J96)</f>
        <v/>
      </c>
      <c r="L96" s="75" t="str">
        <f aca="false">IF(F54="","",IF(9&gt;IF(F57="",10,F57),"",F54*(1+IF(F55="",0,F55))^ROUNDDOWN((9-1)/IF(F56="",5,F56),0)))</f>
        <v/>
      </c>
      <c r="M96" s="75" t="str">
        <f aca="false">IF(L96="","",IF((IF(F64="",IF($D$35="",0,$D$35),F64))=0,0,MAX(0,4096121.2-(IF(F65&lt;&gt;"",F65,IF($D$37&lt;&gt;"",$D$37,IF((IF(F64="",IF($D$35="",0,$D$35),F64))=0,0,F54/(IF(F64="",IF($D$35="",0,$D$35),F64)))))))*(IF(F64="",IF($D$35="",0,$D$35),F64))))</f>
        <v/>
      </c>
      <c r="N96" s="75" t="str">
        <f aca="false">IF(L96="","",L96+M96)</f>
        <v/>
      </c>
      <c r="O96" s="75" t="str">
        <f aca="false">IF(G54="","",IF(9&gt;IF(G57="",10,G57),"",G54*(1+IF(G55="",0,G55))^ROUNDDOWN((9-1)/IF(G56="",5,G56),0)))</f>
        <v/>
      </c>
      <c r="P96" s="75" t="str">
        <f aca="false">IF(O96="","",IF((IF(G64="",IF($D$35="",0,$D$35),G64))=0,0,MAX(0,4096121.2-(IF(G65&lt;&gt;"",G65,IF($D$37&lt;&gt;"",$D$37,IF((IF(G64="",IF($D$35="",0,$D$35),G64))=0,0,G54/(IF(G64="",IF($D$35="",0,$D$35),G64)))))))*(IF(G64="",IF($D$35="",0,$D$35),G64))))</f>
        <v/>
      </c>
      <c r="Q96" s="75" t="str">
        <f aca="false">IF(O96="","",O96+P96)</f>
        <v/>
      </c>
      <c r="R96" s="75" t="str">
        <f aca="false">IF(H54="","",IF(9&gt;IF(H57="",10,H57),"",H54*(1+IF(H55="",0,H55))^ROUNDDOWN((9-1)/IF(H56="",5,H56),0)))</f>
        <v/>
      </c>
      <c r="S96" s="75" t="str">
        <f aca="false">IF(R96="","",IF((IF(H64="",IF($D$35="",0,$D$35),H64))=0,0,MAX(0,4096121.2-(IF(H65&lt;&gt;"",H65,IF($D$37&lt;&gt;"",$D$37,IF((IF(H64="",IF($D$35="",0,$D$35),H64))=0,0,H54/(IF(H64="",IF($D$35="",0,$D$35),H64)))))))*(IF(H64="",IF($D$35="",0,$D$35),H64))))</f>
        <v/>
      </c>
      <c r="T96" s="75" t="str">
        <f aca="false">IF(R96="","",R96+S96)</f>
        <v/>
      </c>
    </row>
    <row r="97" customFormat="false" ht="15" hidden="false" customHeight="false" outlineLevel="0" collapsed="false">
      <c r="A97" s="74" t="n">
        <v>10</v>
      </c>
      <c r="B97" s="75" t="n">
        <v>4178044</v>
      </c>
      <c r="C97" s="76" t="n">
        <v>115917</v>
      </c>
      <c r="D97" s="76" t="n">
        <v>0</v>
      </c>
      <c r="E97" s="76" t="n">
        <v>115917</v>
      </c>
      <c r="F97" s="75" t="n">
        <f aca="false">IF(D54="","",IF(10&gt;IF(D57="",10,D57),"",D54*(1+IF(D55="",0,D55))^ROUNDDOWN((10-1)/IF(D56="",5,D56),0)))</f>
        <v>109140</v>
      </c>
      <c r="G97" s="75" t="n">
        <f aca="false">IF(F97="","",IF((IF(D64="",IF($D$35="",0,$D$35),D64))=0,0,MAX(0,4178043.62-(IF(D65&lt;&gt;"",D65,IF($D$37&lt;&gt;"",$D$37,IF((IF(D64="",IF($D$35="",0,$D$35),D64))=0,0,D54/(IF(D64="",IF($D$35="",0,$D$35),D64)))))))*(IF(D64="",IF($D$35="",0,$D$35),D64))))</f>
        <v>0</v>
      </c>
      <c r="H97" s="75" t="n">
        <f aca="false">IF(F97="","",F97+G97)</f>
        <v>109140</v>
      </c>
      <c r="I97" s="75" t="str">
        <f aca="false">IF(E54="","",IF(10&gt;IF(E57="",10,E57),"",E54*(1+IF(E55="",0,E55))^ROUNDDOWN((10-1)/IF(E56="",5,E56),0)))</f>
        <v/>
      </c>
      <c r="J97" s="75" t="str">
        <f aca="false">IF(I97="","",IF((IF(E64="",IF($D$35="",0,$D$35),E64))=0,0,MAX(0,4178043.62-(IF(E65&lt;&gt;"",E65,IF($D$37&lt;&gt;"",$D$37,IF((IF(E64="",IF($D$35="",0,$D$35),E64))=0,0,E54/(IF(E64="",IF($D$35="",0,$D$35),E64)))))))*(IF(E64="",IF($D$35="",0,$D$35),E64))))</f>
        <v/>
      </c>
      <c r="K97" s="75" t="str">
        <f aca="false">IF(I97="","",I97+J97)</f>
        <v/>
      </c>
      <c r="L97" s="75" t="str">
        <f aca="false">IF(F54="","",IF(10&gt;IF(F57="",10,F57),"",F54*(1+IF(F55="",0,F55))^ROUNDDOWN((10-1)/IF(F56="",5,F56),0)))</f>
        <v/>
      </c>
      <c r="M97" s="75" t="str">
        <f aca="false">IF(L97="","",IF((IF(F64="",IF($D$35="",0,$D$35),F64))=0,0,MAX(0,4178043.62-(IF(F65&lt;&gt;"",F65,IF($D$37&lt;&gt;"",$D$37,IF((IF(F64="",IF($D$35="",0,$D$35),F64))=0,0,F54/(IF(F64="",IF($D$35="",0,$D$35),F64)))))))*(IF(F64="",IF($D$35="",0,$D$35),F64))))</f>
        <v/>
      </c>
      <c r="N97" s="75" t="str">
        <f aca="false">IF(L97="","",L97+M97)</f>
        <v/>
      </c>
      <c r="O97" s="75" t="str">
        <f aca="false">IF(G54="","",IF(10&gt;IF(G57="",10,G57),"",G54*(1+IF(G55="",0,G55))^ROUNDDOWN((10-1)/IF(G56="",5,G56),0)))</f>
        <v/>
      </c>
      <c r="P97" s="75" t="str">
        <f aca="false">IF(O97="","",IF((IF(G64="",IF($D$35="",0,$D$35),G64))=0,0,MAX(0,4178043.62-(IF(G65&lt;&gt;"",G65,IF($D$37&lt;&gt;"",$D$37,IF((IF(G64="",IF($D$35="",0,$D$35),G64))=0,0,G54/(IF(G64="",IF($D$35="",0,$D$35),G64)))))))*(IF(G64="",IF($D$35="",0,$D$35),G64))))</f>
        <v/>
      </c>
      <c r="Q97" s="75" t="str">
        <f aca="false">IF(O97="","",O97+P97)</f>
        <v/>
      </c>
      <c r="R97" s="75" t="str">
        <f aca="false">IF(H54="","",IF(10&gt;IF(H57="",10,H57),"",H54*(1+IF(H55="",0,H55))^ROUNDDOWN((10-1)/IF(H56="",5,H56),0)))</f>
        <v/>
      </c>
      <c r="S97" s="75" t="str">
        <f aca="false">IF(R97="","",IF((IF(H64="",IF($D$35="",0,$D$35),H64))=0,0,MAX(0,4178043.62-(IF(H65&lt;&gt;"",H65,IF($D$37&lt;&gt;"",$D$37,IF((IF(H64="",IF($D$35="",0,$D$35),H64))=0,0,H54/(IF(H64="",IF($D$35="",0,$D$35),H64)))))))*(IF(H64="",IF($D$35="",0,$D$35),H64))))</f>
        <v/>
      </c>
      <c r="T97" s="75" t="str">
        <f aca="false">IF(R97="","",R97+S97)</f>
        <v/>
      </c>
    </row>
    <row r="98" customFormat="false" ht="15" hidden="false" customHeight="false" outlineLevel="0" collapsed="false">
      <c r="A98" s="74" t="n">
        <v>11</v>
      </c>
      <c r="B98" s="75" t="n">
        <v>4261604</v>
      </c>
      <c r="C98" s="76" t="n">
        <v>125576</v>
      </c>
      <c r="D98" s="76" t="n">
        <v>0</v>
      </c>
      <c r="E98" s="76" t="n">
        <v>125576</v>
      </c>
      <c r="F98" s="75" t="n">
        <f aca="false">IF(D54="","",IF(11&gt;IF(D57="",10,D57),"",D54*(1+IF(D55="",0,D55))^ROUNDDOWN((11-1)/IF(D56="",5,D56),0)))</f>
        <v>111322.8</v>
      </c>
      <c r="G98" s="75" t="n">
        <f aca="false">IF(F98="","",IF((IF(D64="",IF($D$35="",0,$D$35),D64))=0,0,MAX(0,4261604.49-(IF(D65&lt;&gt;"",D65,IF($D$37&lt;&gt;"",$D$37,IF((IF(D64="",IF($D$35="",0,$D$35),D64))=0,0,D54/(IF(D64="",IF($D$35="",0,$D$35),D64)))))))*(IF(D64="",IF($D$35="",0,$D$35),D64))))</f>
        <v>0</v>
      </c>
      <c r="H98" s="75" t="n">
        <f aca="false">IF(F98="","",F98+G98)</f>
        <v>111322.8</v>
      </c>
      <c r="I98" s="75" t="str">
        <f aca="false">IF(E54="","",IF(11&gt;IF(E57="",10,E57),"",E54*(1+IF(E55="",0,E55))^ROUNDDOWN((11-1)/IF(E56="",5,E56),0)))</f>
        <v/>
      </c>
      <c r="J98" s="75" t="str">
        <f aca="false">IF(I98="","",IF((IF(E64="",IF($D$35="",0,$D$35),E64))=0,0,MAX(0,4261604.49-(IF(E65&lt;&gt;"",E65,IF($D$37&lt;&gt;"",$D$37,IF((IF(E64="",IF($D$35="",0,$D$35),E64))=0,0,E54/(IF(E64="",IF($D$35="",0,$D$35),E64)))))))*(IF(E64="",IF($D$35="",0,$D$35),E64))))</f>
        <v/>
      </c>
      <c r="K98" s="75" t="str">
        <f aca="false">IF(I98="","",I98+J98)</f>
        <v/>
      </c>
      <c r="L98" s="75" t="str">
        <f aca="false">IF(F54="","",IF(11&gt;IF(F57="",10,F57),"",F54*(1+IF(F55="",0,F55))^ROUNDDOWN((11-1)/IF(F56="",5,F56),0)))</f>
        <v/>
      </c>
      <c r="M98" s="75" t="str">
        <f aca="false">IF(L98="","",IF((IF(F64="",IF($D$35="",0,$D$35),F64))=0,0,MAX(0,4261604.49-(IF(F65&lt;&gt;"",F65,IF($D$37&lt;&gt;"",$D$37,IF((IF(F64="",IF($D$35="",0,$D$35),F64))=0,0,F54/(IF(F64="",IF($D$35="",0,$D$35),F64)))))))*(IF(F64="",IF($D$35="",0,$D$35),F64))))</f>
        <v/>
      </c>
      <c r="N98" s="75" t="str">
        <f aca="false">IF(L98="","",L98+M98)</f>
        <v/>
      </c>
      <c r="O98" s="75" t="str">
        <f aca="false">IF(G54="","",IF(11&gt;IF(G57="",10,G57),"",G54*(1+IF(G55="",0,G55))^ROUNDDOWN((11-1)/IF(G56="",5,G56),0)))</f>
        <v/>
      </c>
      <c r="P98" s="75" t="str">
        <f aca="false">IF(O98="","",IF((IF(G64="",IF($D$35="",0,$D$35),G64))=0,0,MAX(0,4261604.49-(IF(G65&lt;&gt;"",G65,IF($D$37&lt;&gt;"",$D$37,IF((IF(G64="",IF($D$35="",0,$D$35),G64))=0,0,G54/(IF(G64="",IF($D$35="",0,$D$35),G64)))))))*(IF(G64="",IF($D$35="",0,$D$35),G64))))</f>
        <v/>
      </c>
      <c r="Q98" s="75" t="str">
        <f aca="false">IF(O98="","",O98+P98)</f>
        <v/>
      </c>
      <c r="R98" s="75" t="str">
        <f aca="false">IF(H54="","",IF(11&gt;IF(H57="",10,H57),"",H54*(1+IF(H55="",0,H55))^ROUNDDOWN((11-1)/IF(H56="",5,H56),0)))</f>
        <v/>
      </c>
      <c r="S98" s="75" t="str">
        <f aca="false">IF(R98="","",IF((IF(H64="",IF($D$35="",0,$D$35),H64))=0,0,MAX(0,4261604.49-(IF(H65&lt;&gt;"",H65,IF($D$37&lt;&gt;"",$D$37,IF((IF(H64="",IF($D$35="",0,$D$35),H64))=0,0,H54/(IF(H64="",IF($D$35="",0,$D$35),H64)))))))*(IF(H64="",IF($D$35="",0,$D$35),H64))))</f>
        <v/>
      </c>
      <c r="T98" s="75" t="str">
        <f aca="false">IF(R98="","",R98+S98)</f>
        <v/>
      </c>
    </row>
    <row r="99" customFormat="false" ht="15" hidden="false" customHeight="false" outlineLevel="0" collapsed="false">
      <c r="A99" s="74" t="n">
        <v>12</v>
      </c>
      <c r="B99" s="75" t="n">
        <v>4346837</v>
      </c>
      <c r="C99" s="76" t="n">
        <v>125576</v>
      </c>
      <c r="D99" s="76" t="n">
        <v>0</v>
      </c>
      <c r="E99" s="76" t="n">
        <v>125576</v>
      </c>
      <c r="F99" s="75" t="n">
        <f aca="false">IF(D54="","",IF(12&gt;IF(D57="",10,D57),"",D54*(1+IF(D55="",0,D55))^ROUNDDOWN((12-1)/IF(D56="",5,D56),0)))</f>
        <v>111322.8</v>
      </c>
      <c r="G99" s="75" t="n">
        <f aca="false">IF(F99="","",IF((IF(D64="",IF($D$35="",0,$D$35),D64))=0,0,MAX(0,4346836.58-(IF(D65&lt;&gt;"",D65,IF($D$37&lt;&gt;"",$D$37,IF((IF(D64="",IF($D$35="",0,$D$35),D64))=0,0,D54/(IF(D64="",IF($D$35="",0,$D$35),D64)))))))*(IF(D64="",IF($D$35="",0,$D$35),D64))))</f>
        <v>0</v>
      </c>
      <c r="H99" s="75" t="n">
        <f aca="false">IF(F99="","",F99+G99)</f>
        <v>111322.8</v>
      </c>
      <c r="I99" s="75" t="str">
        <f aca="false">IF(E54="","",IF(12&gt;IF(E57="",10,E57),"",E54*(1+IF(E55="",0,E55))^ROUNDDOWN((12-1)/IF(E56="",5,E56),0)))</f>
        <v/>
      </c>
      <c r="J99" s="75" t="str">
        <f aca="false">IF(I99="","",IF((IF(E64="",IF($D$35="",0,$D$35),E64))=0,0,MAX(0,4346836.58-(IF(E65&lt;&gt;"",E65,IF($D$37&lt;&gt;"",$D$37,IF((IF(E64="",IF($D$35="",0,$D$35),E64))=0,0,E54/(IF(E64="",IF($D$35="",0,$D$35),E64)))))))*(IF(E64="",IF($D$35="",0,$D$35),E64))))</f>
        <v/>
      </c>
      <c r="K99" s="75" t="str">
        <f aca="false">IF(I99="","",I99+J99)</f>
        <v/>
      </c>
      <c r="L99" s="75" t="str">
        <f aca="false">IF(F54="","",IF(12&gt;IF(F57="",10,F57),"",F54*(1+IF(F55="",0,F55))^ROUNDDOWN((12-1)/IF(F56="",5,F56),0)))</f>
        <v/>
      </c>
      <c r="M99" s="75" t="str">
        <f aca="false">IF(L99="","",IF((IF(F64="",IF($D$35="",0,$D$35),F64))=0,0,MAX(0,4346836.58-(IF(F65&lt;&gt;"",F65,IF($D$37&lt;&gt;"",$D$37,IF((IF(F64="",IF($D$35="",0,$D$35),F64))=0,0,F54/(IF(F64="",IF($D$35="",0,$D$35),F64)))))))*(IF(F64="",IF($D$35="",0,$D$35),F64))))</f>
        <v/>
      </c>
      <c r="N99" s="75" t="str">
        <f aca="false">IF(L99="","",L99+M99)</f>
        <v/>
      </c>
      <c r="O99" s="75" t="str">
        <f aca="false">IF(G54="","",IF(12&gt;IF(G57="",10,G57),"",G54*(1+IF(G55="",0,G55))^ROUNDDOWN((12-1)/IF(G56="",5,G56),0)))</f>
        <v/>
      </c>
      <c r="P99" s="75" t="str">
        <f aca="false">IF(O99="","",IF((IF(G64="",IF($D$35="",0,$D$35),G64))=0,0,MAX(0,4346836.58-(IF(G65&lt;&gt;"",G65,IF($D$37&lt;&gt;"",$D$37,IF((IF(G64="",IF($D$35="",0,$D$35),G64))=0,0,G54/(IF(G64="",IF($D$35="",0,$D$35),G64)))))))*(IF(G64="",IF($D$35="",0,$D$35),G64))))</f>
        <v/>
      </c>
      <c r="Q99" s="75" t="str">
        <f aca="false">IF(O99="","",O99+P99)</f>
        <v/>
      </c>
      <c r="R99" s="75" t="str">
        <f aca="false">IF(H54="","",IF(12&gt;IF(H57="",10,H57),"",H54*(1+IF(H55="",0,H55))^ROUNDDOWN((12-1)/IF(H56="",5,H56),0)))</f>
        <v/>
      </c>
      <c r="S99" s="75" t="str">
        <f aca="false">IF(R99="","",IF((IF(H64="",IF($D$35="",0,$D$35),H64))=0,0,MAX(0,4346836.58-(IF(H65&lt;&gt;"",H65,IF($D$37&lt;&gt;"",$D$37,IF((IF(H64="",IF($D$35="",0,$D$35),H64))=0,0,H54/(IF(H64="",IF($D$35="",0,$D$35),H64)))))))*(IF(H64="",IF($D$35="",0,$D$35),H64))))</f>
        <v/>
      </c>
      <c r="T99" s="75" t="str">
        <f aca="false">IF(R99="","",R99+S99)</f>
        <v/>
      </c>
    </row>
    <row r="100" customFormat="false" ht="15" hidden="false" customHeight="false" outlineLevel="0" collapsed="false">
      <c r="A100" s="74" t="n">
        <v>13</v>
      </c>
      <c r="B100" s="75" t="n">
        <v>4433773</v>
      </c>
      <c r="C100" s="76" t="n">
        <v>125576</v>
      </c>
      <c r="D100" s="76" t="n">
        <v>0</v>
      </c>
      <c r="E100" s="76" t="n">
        <v>125576</v>
      </c>
      <c r="F100" s="75" t="n">
        <f aca="false">IF(D54="","",IF(13&gt;IF(D57="",10,D57),"",D54*(1+IF(D55="",0,D55))^ROUNDDOWN((13-1)/IF(D56="",5,D56),0)))</f>
        <v>111322.8</v>
      </c>
      <c r="G100" s="75" t="n">
        <f aca="false">IF(F100="","",IF((IF(D64="",IF($D$35="",0,$D$35),D64))=0,0,MAX(0,4433773.31-(IF(D65&lt;&gt;"",D65,IF($D$37&lt;&gt;"",$D$37,IF((IF(D64="",IF($D$35="",0,$D$35),D64))=0,0,D54/(IF(D64="",IF($D$35="",0,$D$35),D64)))))))*(IF(D64="",IF($D$35="",0,$D$35),D64))))</f>
        <v>0</v>
      </c>
      <c r="H100" s="75" t="n">
        <f aca="false">IF(F100="","",F100+G100)</f>
        <v>111322.8</v>
      </c>
      <c r="I100" s="75" t="str">
        <f aca="false">IF(E54="","",IF(13&gt;IF(E57="",10,E57),"",E54*(1+IF(E55="",0,E55))^ROUNDDOWN((13-1)/IF(E56="",5,E56),0)))</f>
        <v/>
      </c>
      <c r="J100" s="75" t="str">
        <f aca="false">IF(I100="","",IF((IF(E64="",IF($D$35="",0,$D$35),E64))=0,0,MAX(0,4433773.31-(IF(E65&lt;&gt;"",E65,IF($D$37&lt;&gt;"",$D$37,IF((IF(E64="",IF($D$35="",0,$D$35),E64))=0,0,E54/(IF(E64="",IF($D$35="",0,$D$35),E64)))))))*(IF(E64="",IF($D$35="",0,$D$35),E64))))</f>
        <v/>
      </c>
      <c r="K100" s="75" t="str">
        <f aca="false">IF(I100="","",I100+J100)</f>
        <v/>
      </c>
      <c r="L100" s="75" t="str">
        <f aca="false">IF(F54="","",IF(13&gt;IF(F57="",10,F57),"",F54*(1+IF(F55="",0,F55))^ROUNDDOWN((13-1)/IF(F56="",5,F56),0)))</f>
        <v/>
      </c>
      <c r="M100" s="75" t="str">
        <f aca="false">IF(L100="","",IF((IF(F64="",IF($D$35="",0,$D$35),F64))=0,0,MAX(0,4433773.31-(IF(F65&lt;&gt;"",F65,IF($D$37&lt;&gt;"",$D$37,IF((IF(F64="",IF($D$35="",0,$D$35),F64))=0,0,F54/(IF(F64="",IF($D$35="",0,$D$35),F64)))))))*(IF(F64="",IF($D$35="",0,$D$35),F64))))</f>
        <v/>
      </c>
      <c r="N100" s="75" t="str">
        <f aca="false">IF(L100="","",L100+M100)</f>
        <v/>
      </c>
      <c r="O100" s="75" t="str">
        <f aca="false">IF(G54="","",IF(13&gt;IF(G57="",10,G57),"",G54*(1+IF(G55="",0,G55))^ROUNDDOWN((13-1)/IF(G56="",5,G56),0)))</f>
        <v/>
      </c>
      <c r="P100" s="75" t="str">
        <f aca="false">IF(O100="","",IF((IF(G64="",IF($D$35="",0,$D$35),G64))=0,0,MAX(0,4433773.31-(IF(G65&lt;&gt;"",G65,IF($D$37&lt;&gt;"",$D$37,IF((IF(G64="",IF($D$35="",0,$D$35),G64))=0,0,G54/(IF(G64="",IF($D$35="",0,$D$35),G64)))))))*(IF(G64="",IF($D$35="",0,$D$35),G64))))</f>
        <v/>
      </c>
      <c r="Q100" s="75" t="str">
        <f aca="false">IF(O100="","",O100+P100)</f>
        <v/>
      </c>
      <c r="R100" s="75" t="str">
        <f aca="false">IF(H54="","",IF(13&gt;IF(H57="",10,H57),"",H54*(1+IF(H55="",0,H55))^ROUNDDOWN((13-1)/IF(H56="",5,H56),0)))</f>
        <v/>
      </c>
      <c r="S100" s="75" t="str">
        <f aca="false">IF(R100="","",IF((IF(H64="",IF($D$35="",0,$D$35),H64))=0,0,MAX(0,4433773.31-(IF(H65&lt;&gt;"",H65,IF($D$37&lt;&gt;"",$D$37,IF((IF(H64="",IF($D$35="",0,$D$35),H64))=0,0,H54/(IF(H64="",IF($D$35="",0,$D$35),H64)))))))*(IF(H64="",IF($D$35="",0,$D$35),H64))))</f>
        <v/>
      </c>
      <c r="T100" s="75" t="str">
        <f aca="false">IF(R100="","",R100+S100)</f>
        <v/>
      </c>
    </row>
    <row r="101" customFormat="false" ht="15" hidden="false" customHeight="false" outlineLevel="0" collapsed="false">
      <c r="A101" s="74" t="n">
        <v>14</v>
      </c>
      <c r="B101" s="75" t="n">
        <v>4522449</v>
      </c>
      <c r="C101" s="76" t="n">
        <v>125576</v>
      </c>
      <c r="D101" s="76" t="n">
        <v>0</v>
      </c>
      <c r="E101" s="76" t="n">
        <v>125576</v>
      </c>
      <c r="F101" s="75" t="n">
        <f aca="false">IF(D54="","",IF(14&gt;IF(D57="",10,D57),"",D54*(1+IF(D55="",0,D55))^ROUNDDOWN((14-1)/IF(D56="",5,D56),0)))</f>
        <v>111322.8</v>
      </c>
      <c r="G101" s="75" t="n">
        <f aca="false">IF(F101="","",IF((IF(D64="",IF($D$35="",0,$D$35),D64))=0,0,MAX(0,4522448.78-(IF(D65&lt;&gt;"",D65,IF($D$37&lt;&gt;"",$D$37,IF((IF(D64="",IF($D$35="",0,$D$35),D64))=0,0,D54/(IF(D64="",IF($D$35="",0,$D$35),D64)))))))*(IF(D64="",IF($D$35="",0,$D$35),D64))))</f>
        <v>0</v>
      </c>
      <c r="H101" s="75" t="n">
        <f aca="false">IF(F101="","",F101+G101)</f>
        <v>111322.8</v>
      </c>
      <c r="I101" s="75" t="str">
        <f aca="false">IF(E54="","",IF(14&gt;IF(E57="",10,E57),"",E54*(1+IF(E55="",0,E55))^ROUNDDOWN((14-1)/IF(E56="",5,E56),0)))</f>
        <v/>
      </c>
      <c r="J101" s="75" t="str">
        <f aca="false">IF(I101="","",IF((IF(E64="",IF($D$35="",0,$D$35),E64))=0,0,MAX(0,4522448.78-(IF(E65&lt;&gt;"",E65,IF($D$37&lt;&gt;"",$D$37,IF((IF(E64="",IF($D$35="",0,$D$35),E64))=0,0,E54/(IF(E64="",IF($D$35="",0,$D$35),E64)))))))*(IF(E64="",IF($D$35="",0,$D$35),E64))))</f>
        <v/>
      </c>
      <c r="K101" s="75" t="str">
        <f aca="false">IF(I101="","",I101+J101)</f>
        <v/>
      </c>
      <c r="L101" s="75" t="str">
        <f aca="false">IF(F54="","",IF(14&gt;IF(F57="",10,F57),"",F54*(1+IF(F55="",0,F55))^ROUNDDOWN((14-1)/IF(F56="",5,F56),0)))</f>
        <v/>
      </c>
      <c r="M101" s="75" t="str">
        <f aca="false">IF(L101="","",IF((IF(F64="",IF($D$35="",0,$D$35),F64))=0,0,MAX(0,4522448.78-(IF(F65&lt;&gt;"",F65,IF($D$37&lt;&gt;"",$D$37,IF((IF(F64="",IF($D$35="",0,$D$35),F64))=0,0,F54/(IF(F64="",IF($D$35="",0,$D$35),F64)))))))*(IF(F64="",IF($D$35="",0,$D$35),F64))))</f>
        <v/>
      </c>
      <c r="N101" s="75" t="str">
        <f aca="false">IF(L101="","",L101+M101)</f>
        <v/>
      </c>
      <c r="O101" s="75" t="str">
        <f aca="false">IF(G54="","",IF(14&gt;IF(G57="",10,G57),"",G54*(1+IF(G55="",0,G55))^ROUNDDOWN((14-1)/IF(G56="",5,G56),0)))</f>
        <v/>
      </c>
      <c r="P101" s="75" t="str">
        <f aca="false">IF(O101="","",IF((IF(G64="",IF($D$35="",0,$D$35),G64))=0,0,MAX(0,4522448.78-(IF(G65&lt;&gt;"",G65,IF($D$37&lt;&gt;"",$D$37,IF((IF(G64="",IF($D$35="",0,$D$35),G64))=0,0,G54/(IF(G64="",IF($D$35="",0,$D$35),G64)))))))*(IF(G64="",IF($D$35="",0,$D$35),G64))))</f>
        <v/>
      </c>
      <c r="Q101" s="75" t="str">
        <f aca="false">IF(O101="","",O101+P101)</f>
        <v/>
      </c>
      <c r="R101" s="75" t="str">
        <f aca="false">IF(H54="","",IF(14&gt;IF(H57="",10,H57),"",H54*(1+IF(H55="",0,H55))^ROUNDDOWN((14-1)/IF(H56="",5,H56),0)))</f>
        <v/>
      </c>
      <c r="S101" s="75" t="str">
        <f aca="false">IF(R101="","",IF((IF(H64="",IF($D$35="",0,$D$35),H64))=0,0,MAX(0,4522448.78-(IF(H65&lt;&gt;"",H65,IF($D$37&lt;&gt;"",$D$37,IF((IF(H64="",IF($D$35="",0,$D$35),H64))=0,0,H54/(IF(H64="",IF($D$35="",0,$D$35),H64)))))))*(IF(H64="",IF($D$35="",0,$D$35),H64))))</f>
        <v/>
      </c>
      <c r="T101" s="75" t="str">
        <f aca="false">IF(R101="","",R101+S101)</f>
        <v/>
      </c>
    </row>
    <row r="102" customFormat="false" ht="15" hidden="false" customHeight="false" outlineLevel="0" collapsed="false">
      <c r="A102" s="74" t="n">
        <v>15</v>
      </c>
      <c r="B102" s="75" t="n">
        <v>4612898</v>
      </c>
      <c r="C102" s="76" t="n">
        <v>125576</v>
      </c>
      <c r="D102" s="76" t="n">
        <v>0</v>
      </c>
      <c r="E102" s="76" t="n">
        <v>125576</v>
      </c>
      <c r="F102" s="75" t="n">
        <f aca="false">IF(D54="","",IF(15&gt;IF(D57="",10,D57),"",D54*(1+IF(D55="",0,D55))^ROUNDDOWN((15-1)/IF(D56="",5,D56),0)))</f>
        <v>111322.8</v>
      </c>
      <c r="G102" s="75" t="n">
        <f aca="false">IF(F102="","",IF((IF(D64="",IF($D$35="",0,$D$35),D64))=0,0,MAX(0,4612897.76-(IF(D65&lt;&gt;"",D65,IF($D$37&lt;&gt;"",$D$37,IF((IF(D64="",IF($D$35="",0,$D$35),D64))=0,0,D54/(IF(D64="",IF($D$35="",0,$D$35),D64)))))))*(IF(D64="",IF($D$35="",0,$D$35),D64))))</f>
        <v>0</v>
      </c>
      <c r="H102" s="75" t="n">
        <f aca="false">IF(F102="","",F102+G102)</f>
        <v>111322.8</v>
      </c>
      <c r="I102" s="75" t="str">
        <f aca="false">IF(E54="","",IF(15&gt;IF(E57="",10,E57),"",E54*(1+IF(E55="",0,E55))^ROUNDDOWN((15-1)/IF(E56="",5,E56),0)))</f>
        <v/>
      </c>
      <c r="J102" s="75" t="str">
        <f aca="false">IF(I102="","",IF((IF(E64="",IF($D$35="",0,$D$35),E64))=0,0,MAX(0,4612897.76-(IF(E65&lt;&gt;"",E65,IF($D$37&lt;&gt;"",$D$37,IF((IF(E64="",IF($D$35="",0,$D$35),E64))=0,0,E54/(IF(E64="",IF($D$35="",0,$D$35),E64)))))))*(IF(E64="",IF($D$35="",0,$D$35),E64))))</f>
        <v/>
      </c>
      <c r="K102" s="75" t="str">
        <f aca="false">IF(I102="","",I102+J102)</f>
        <v/>
      </c>
      <c r="L102" s="75" t="str">
        <f aca="false">IF(F54="","",IF(15&gt;IF(F57="",10,F57),"",F54*(1+IF(F55="",0,F55))^ROUNDDOWN((15-1)/IF(F56="",5,F56),0)))</f>
        <v/>
      </c>
      <c r="M102" s="75" t="str">
        <f aca="false">IF(L102="","",IF((IF(F64="",IF($D$35="",0,$D$35),F64))=0,0,MAX(0,4612897.76-(IF(F65&lt;&gt;"",F65,IF($D$37&lt;&gt;"",$D$37,IF((IF(F64="",IF($D$35="",0,$D$35),F64))=0,0,F54/(IF(F64="",IF($D$35="",0,$D$35),F64)))))))*(IF(F64="",IF($D$35="",0,$D$35),F64))))</f>
        <v/>
      </c>
      <c r="N102" s="75" t="str">
        <f aca="false">IF(L102="","",L102+M102)</f>
        <v/>
      </c>
      <c r="O102" s="75" t="str">
        <f aca="false">IF(G54="","",IF(15&gt;IF(G57="",10,G57),"",G54*(1+IF(G55="",0,G55))^ROUNDDOWN((15-1)/IF(G56="",5,G56),0)))</f>
        <v/>
      </c>
      <c r="P102" s="75" t="str">
        <f aca="false">IF(O102="","",IF((IF(G64="",IF($D$35="",0,$D$35),G64))=0,0,MAX(0,4612897.76-(IF(G65&lt;&gt;"",G65,IF($D$37&lt;&gt;"",$D$37,IF((IF(G64="",IF($D$35="",0,$D$35),G64))=0,0,G54/(IF(G64="",IF($D$35="",0,$D$35),G64)))))))*(IF(G64="",IF($D$35="",0,$D$35),G64))))</f>
        <v/>
      </c>
      <c r="Q102" s="75" t="str">
        <f aca="false">IF(O102="","",O102+P102)</f>
        <v/>
      </c>
      <c r="R102" s="75" t="str">
        <f aca="false">IF(H54="","",IF(15&gt;IF(H57="",10,H57),"",H54*(1+IF(H55="",0,H55))^ROUNDDOWN((15-1)/IF(H56="",5,H56),0)))</f>
        <v/>
      </c>
      <c r="S102" s="75" t="str">
        <f aca="false">IF(R102="","",IF((IF(H64="",IF($D$35="",0,$D$35),H64))=0,0,MAX(0,4612897.76-(IF(H65&lt;&gt;"",H65,IF($D$37&lt;&gt;"",$D$37,IF((IF(H64="",IF($D$35="",0,$D$35),H64))=0,0,H54/(IF(H64="",IF($D$35="",0,$D$35),H64)))))))*(IF(H64="",IF($D$35="",0,$D$35),H64))))</f>
        <v/>
      </c>
      <c r="T102" s="75" t="str">
        <f aca="false">IF(R102="","",R102+S102)</f>
        <v/>
      </c>
    </row>
    <row r="103" customFormat="false" ht="15" hidden="false" customHeight="false" outlineLevel="0" collapsed="false">
      <c r="A103" s="74" t="n">
        <v>16</v>
      </c>
      <c r="B103" s="75" t="n">
        <v>4705156</v>
      </c>
      <c r="C103" s="76" t="n">
        <v>136041</v>
      </c>
      <c r="D103" s="76" t="n">
        <v>0</v>
      </c>
      <c r="E103" s="76" t="n">
        <v>136041</v>
      </c>
      <c r="F103" s="75" t="n">
        <f aca="false">IF(D54="","",IF(16&gt;IF(D57="",10,D57),"",D54*(1+IF(D55="",0,D55))^ROUNDDOWN((16-1)/IF(D56="",5,D56),0)))</f>
        <v>113549.256</v>
      </c>
      <c r="G103" s="75" t="n">
        <f aca="false">IF(F103="","",IF((IF(D64="",IF($D$35="",0,$D$35),D64))=0,0,MAX(0,4705155.71-(IF(D65&lt;&gt;"",D65,IF($D$37&lt;&gt;"",$D$37,IF((IF(D64="",IF($D$35="",0,$D$35),D64))=0,0,D54/(IF(D64="",IF($D$35="",0,$D$35),D64)))))))*(IF(D64="",IF($D$35="",0,$D$35),D64))))</f>
        <v>0</v>
      </c>
      <c r="H103" s="75" t="n">
        <f aca="false">IF(F103="","",F103+G103)</f>
        <v>113549.256</v>
      </c>
      <c r="I103" s="75" t="str">
        <f aca="false">IF(E54="","",IF(16&gt;IF(E57="",10,E57),"",E54*(1+IF(E55="",0,E55))^ROUNDDOWN((16-1)/IF(E56="",5,E56),0)))</f>
        <v/>
      </c>
      <c r="J103" s="75" t="str">
        <f aca="false">IF(I103="","",IF((IF(E64="",IF($D$35="",0,$D$35),E64))=0,0,MAX(0,4705155.71-(IF(E65&lt;&gt;"",E65,IF($D$37&lt;&gt;"",$D$37,IF((IF(E64="",IF($D$35="",0,$D$35),E64))=0,0,E54/(IF(E64="",IF($D$35="",0,$D$35),E64)))))))*(IF(E64="",IF($D$35="",0,$D$35),E64))))</f>
        <v/>
      </c>
      <c r="K103" s="75" t="str">
        <f aca="false">IF(I103="","",I103+J103)</f>
        <v/>
      </c>
      <c r="L103" s="75" t="str">
        <f aca="false">IF(F54="","",IF(16&gt;IF(F57="",10,F57),"",F54*(1+IF(F55="",0,F55))^ROUNDDOWN((16-1)/IF(F56="",5,F56),0)))</f>
        <v/>
      </c>
      <c r="M103" s="75" t="str">
        <f aca="false">IF(L103="","",IF((IF(F64="",IF($D$35="",0,$D$35),F64))=0,0,MAX(0,4705155.71-(IF(F65&lt;&gt;"",F65,IF($D$37&lt;&gt;"",$D$37,IF((IF(F64="",IF($D$35="",0,$D$35),F64))=0,0,F54/(IF(F64="",IF($D$35="",0,$D$35),F64)))))))*(IF(F64="",IF($D$35="",0,$D$35),F64))))</f>
        <v/>
      </c>
      <c r="N103" s="75" t="str">
        <f aca="false">IF(L103="","",L103+M103)</f>
        <v/>
      </c>
      <c r="O103" s="75" t="str">
        <f aca="false">IF(G54="","",IF(16&gt;IF(G57="",10,G57),"",G54*(1+IF(G55="",0,G55))^ROUNDDOWN((16-1)/IF(G56="",5,G56),0)))</f>
        <v/>
      </c>
      <c r="P103" s="75" t="str">
        <f aca="false">IF(O103="","",IF((IF(G64="",IF($D$35="",0,$D$35),G64))=0,0,MAX(0,4705155.71-(IF(G65&lt;&gt;"",G65,IF($D$37&lt;&gt;"",$D$37,IF((IF(G64="",IF($D$35="",0,$D$35),G64))=0,0,G54/(IF(G64="",IF($D$35="",0,$D$35),G64)))))))*(IF(G64="",IF($D$35="",0,$D$35),G64))))</f>
        <v/>
      </c>
      <c r="Q103" s="75" t="str">
        <f aca="false">IF(O103="","",O103+P103)</f>
        <v/>
      </c>
      <c r="R103" s="75" t="str">
        <f aca="false">IF(H54="","",IF(16&gt;IF(H57="",10,H57),"",H54*(1+IF(H55="",0,H55))^ROUNDDOWN((16-1)/IF(H56="",5,H56),0)))</f>
        <v/>
      </c>
      <c r="S103" s="75" t="str">
        <f aca="false">IF(R103="","",IF((IF(H64="",IF($D$35="",0,$D$35),H64))=0,0,MAX(0,4705155.71-(IF(H65&lt;&gt;"",H65,IF($D$37&lt;&gt;"",$D$37,IF((IF(H64="",IF($D$35="",0,$D$35),H64))=0,0,H54/(IF(H64="",IF($D$35="",0,$D$35),H64)))))))*(IF(H64="",IF($D$35="",0,$D$35),H64))))</f>
        <v/>
      </c>
      <c r="T103" s="75" t="str">
        <f aca="false">IF(R103="","",R103+S103)</f>
        <v/>
      </c>
    </row>
    <row r="104" customFormat="false" ht="15" hidden="false" customHeight="false" outlineLevel="0" collapsed="false">
      <c r="A104" s="74" t="n">
        <v>17</v>
      </c>
      <c r="B104" s="75" t="n">
        <v>4799259</v>
      </c>
      <c r="C104" s="76" t="n">
        <v>136041</v>
      </c>
      <c r="D104" s="76" t="n">
        <v>0</v>
      </c>
      <c r="E104" s="76" t="n">
        <v>136041</v>
      </c>
      <c r="F104" s="75" t="n">
        <f aca="false">IF(D54="","",IF(17&gt;IF(D57="",10,D57),"",D54*(1+IF(D55="",0,D55))^ROUNDDOWN((17-1)/IF(D56="",5,D56),0)))</f>
        <v>113549.256</v>
      </c>
      <c r="G104" s="75" t="n">
        <f aca="false">IF(F104="","",IF((IF(D64="",IF($D$35="",0,$D$35),D64))=0,0,MAX(0,4799258.82-(IF(D65&lt;&gt;"",D65,IF($D$37&lt;&gt;"",$D$37,IF((IF(D64="",IF($D$35="",0,$D$35),D64))=0,0,D54/(IF(D64="",IF($D$35="",0,$D$35),D64)))))))*(IF(D64="",IF($D$35="",0,$D$35),D64))))</f>
        <v>0</v>
      </c>
      <c r="H104" s="75" t="n">
        <f aca="false">IF(F104="","",F104+G104)</f>
        <v>113549.256</v>
      </c>
      <c r="I104" s="75" t="str">
        <f aca="false">IF(E54="","",IF(17&gt;IF(E57="",10,E57),"",E54*(1+IF(E55="",0,E55))^ROUNDDOWN((17-1)/IF(E56="",5,E56),0)))</f>
        <v/>
      </c>
      <c r="J104" s="75" t="str">
        <f aca="false">IF(I104="","",IF((IF(E64="",IF($D$35="",0,$D$35),E64))=0,0,MAX(0,4799258.82-(IF(E65&lt;&gt;"",E65,IF($D$37&lt;&gt;"",$D$37,IF((IF(E64="",IF($D$35="",0,$D$35),E64))=0,0,E54/(IF(E64="",IF($D$35="",0,$D$35),E64)))))))*(IF(E64="",IF($D$35="",0,$D$35),E64))))</f>
        <v/>
      </c>
      <c r="K104" s="75" t="str">
        <f aca="false">IF(I104="","",I104+J104)</f>
        <v/>
      </c>
      <c r="L104" s="75" t="str">
        <f aca="false">IF(F54="","",IF(17&gt;IF(F57="",10,F57),"",F54*(1+IF(F55="",0,F55))^ROUNDDOWN((17-1)/IF(F56="",5,F56),0)))</f>
        <v/>
      </c>
      <c r="M104" s="75" t="str">
        <f aca="false">IF(L104="","",IF((IF(F64="",IF($D$35="",0,$D$35),F64))=0,0,MAX(0,4799258.82-(IF(F65&lt;&gt;"",F65,IF($D$37&lt;&gt;"",$D$37,IF((IF(F64="",IF($D$35="",0,$D$35),F64))=0,0,F54/(IF(F64="",IF($D$35="",0,$D$35),F64)))))))*(IF(F64="",IF($D$35="",0,$D$35),F64))))</f>
        <v/>
      </c>
      <c r="N104" s="75" t="str">
        <f aca="false">IF(L104="","",L104+M104)</f>
        <v/>
      </c>
      <c r="O104" s="75" t="str">
        <f aca="false">IF(G54="","",IF(17&gt;IF(G57="",10,G57),"",G54*(1+IF(G55="",0,G55))^ROUNDDOWN((17-1)/IF(G56="",5,G56),0)))</f>
        <v/>
      </c>
      <c r="P104" s="75" t="str">
        <f aca="false">IF(O104="","",IF((IF(G64="",IF($D$35="",0,$D$35),G64))=0,0,MAX(0,4799258.82-(IF(G65&lt;&gt;"",G65,IF($D$37&lt;&gt;"",$D$37,IF((IF(G64="",IF($D$35="",0,$D$35),G64))=0,0,G54/(IF(G64="",IF($D$35="",0,$D$35),G64)))))))*(IF(G64="",IF($D$35="",0,$D$35),G64))))</f>
        <v/>
      </c>
      <c r="Q104" s="75" t="str">
        <f aca="false">IF(O104="","",O104+P104)</f>
        <v/>
      </c>
      <c r="R104" s="75" t="str">
        <f aca="false">IF(H54="","",IF(17&gt;IF(H57="",10,H57),"",H54*(1+IF(H55="",0,H55))^ROUNDDOWN((17-1)/IF(H56="",5,H56),0)))</f>
        <v/>
      </c>
      <c r="S104" s="75" t="str">
        <f aca="false">IF(R104="","",IF((IF(H64="",IF($D$35="",0,$D$35),H64))=0,0,MAX(0,4799258.82-(IF(H65&lt;&gt;"",H65,IF($D$37&lt;&gt;"",$D$37,IF((IF(H64="",IF($D$35="",0,$D$35),H64))=0,0,H54/(IF(H64="",IF($D$35="",0,$D$35),H64)))))))*(IF(H64="",IF($D$35="",0,$D$35),H64))))</f>
        <v/>
      </c>
      <c r="T104" s="75" t="str">
        <f aca="false">IF(R104="","",R104+S104)</f>
        <v/>
      </c>
    </row>
    <row r="105" customFormat="false" ht="15" hidden="false" customHeight="false" outlineLevel="0" collapsed="false">
      <c r="A105" s="74" t="n">
        <v>18</v>
      </c>
      <c r="B105" s="75" t="n">
        <v>4895244</v>
      </c>
      <c r="C105" s="76" t="n">
        <v>136041</v>
      </c>
      <c r="D105" s="76" t="n">
        <v>0</v>
      </c>
      <c r="E105" s="76" t="n">
        <v>136041</v>
      </c>
      <c r="F105" s="75" t="n">
        <f aca="false">IF(D54="","",IF(18&gt;IF(D57="",10,D57),"",D54*(1+IF(D55="",0,D55))^ROUNDDOWN((18-1)/IF(D56="",5,D56),0)))</f>
        <v>113549.256</v>
      </c>
      <c r="G105" s="75" t="n">
        <f aca="false">IF(F105="","",IF((IF(D64="",IF($D$35="",0,$D$35),D64))=0,0,MAX(0,4895244-(IF(D65&lt;&gt;"",D65,IF($D$37&lt;&gt;"",$D$37,IF((IF(D64="",IF($D$35="",0,$D$35),D64))=0,0,D54/(IF(D64="",IF($D$35="",0,$D$35),D64)))))))*(IF(D64="",IF($D$35="",0,$D$35),D64))))</f>
        <v>0</v>
      </c>
      <c r="H105" s="75" t="n">
        <f aca="false">IF(F105="","",F105+G105)</f>
        <v>113549.256</v>
      </c>
      <c r="I105" s="75" t="str">
        <f aca="false">IF(E54="","",IF(18&gt;IF(E57="",10,E57),"",E54*(1+IF(E55="",0,E55))^ROUNDDOWN((18-1)/IF(E56="",5,E56),0)))</f>
        <v/>
      </c>
      <c r="J105" s="75" t="str">
        <f aca="false">IF(I105="","",IF((IF(E64="",IF($D$35="",0,$D$35),E64))=0,0,MAX(0,4895244-(IF(E65&lt;&gt;"",E65,IF($D$37&lt;&gt;"",$D$37,IF((IF(E64="",IF($D$35="",0,$D$35),E64))=0,0,E54/(IF(E64="",IF($D$35="",0,$D$35),E64)))))))*(IF(E64="",IF($D$35="",0,$D$35),E64))))</f>
        <v/>
      </c>
      <c r="K105" s="75" t="str">
        <f aca="false">IF(I105="","",I105+J105)</f>
        <v/>
      </c>
      <c r="L105" s="75" t="str">
        <f aca="false">IF(F54="","",IF(18&gt;IF(F57="",10,F57),"",F54*(1+IF(F55="",0,F55))^ROUNDDOWN((18-1)/IF(F56="",5,F56),0)))</f>
        <v/>
      </c>
      <c r="M105" s="75" t="str">
        <f aca="false">IF(L105="","",IF((IF(F64="",IF($D$35="",0,$D$35),F64))=0,0,MAX(0,4895244-(IF(F65&lt;&gt;"",F65,IF($D$37&lt;&gt;"",$D$37,IF((IF(F64="",IF($D$35="",0,$D$35),F64))=0,0,F54/(IF(F64="",IF($D$35="",0,$D$35),F64)))))))*(IF(F64="",IF($D$35="",0,$D$35),F64))))</f>
        <v/>
      </c>
      <c r="N105" s="75" t="str">
        <f aca="false">IF(L105="","",L105+M105)</f>
        <v/>
      </c>
      <c r="O105" s="75" t="str">
        <f aca="false">IF(G54="","",IF(18&gt;IF(G57="",10,G57),"",G54*(1+IF(G55="",0,G55))^ROUNDDOWN((18-1)/IF(G56="",5,G56),0)))</f>
        <v/>
      </c>
      <c r="P105" s="75" t="str">
        <f aca="false">IF(O105="","",IF((IF(G64="",IF($D$35="",0,$D$35),G64))=0,0,MAX(0,4895244-(IF(G65&lt;&gt;"",G65,IF($D$37&lt;&gt;"",$D$37,IF((IF(G64="",IF($D$35="",0,$D$35),G64))=0,0,G54/(IF(G64="",IF($D$35="",0,$D$35),G64)))))))*(IF(G64="",IF($D$35="",0,$D$35),G64))))</f>
        <v/>
      </c>
      <c r="Q105" s="75" t="str">
        <f aca="false">IF(O105="","",O105+P105)</f>
        <v/>
      </c>
      <c r="R105" s="75" t="str">
        <f aca="false">IF(H54="","",IF(18&gt;IF(H57="",10,H57),"",H54*(1+IF(H55="",0,H55))^ROUNDDOWN((18-1)/IF(H56="",5,H56),0)))</f>
        <v/>
      </c>
      <c r="S105" s="75" t="str">
        <f aca="false">IF(R105="","",IF((IF(H64="",IF($D$35="",0,$D$35),H64))=0,0,MAX(0,4895244-(IF(H65&lt;&gt;"",H65,IF($D$37&lt;&gt;"",$D$37,IF((IF(H64="",IF($D$35="",0,$D$35),H64))=0,0,H54/(IF(H64="",IF($D$35="",0,$D$35),H64)))))))*(IF(H64="",IF($D$35="",0,$D$35),H64))))</f>
        <v/>
      </c>
      <c r="T105" s="75" t="str">
        <f aca="false">IF(R105="","",R105+S105)</f>
        <v/>
      </c>
    </row>
    <row r="106" customFormat="false" ht="15" hidden="false" customHeight="false" outlineLevel="0" collapsed="false">
      <c r="A106" s="74" t="n">
        <v>19</v>
      </c>
      <c r="B106" s="75" t="n">
        <v>4993149</v>
      </c>
      <c r="C106" s="76" t="n">
        <v>136041</v>
      </c>
      <c r="D106" s="76" t="n">
        <v>0</v>
      </c>
      <c r="E106" s="76" t="n">
        <v>136041</v>
      </c>
      <c r="F106" s="75" t="n">
        <f aca="false">IF(D54="","",IF(19&gt;IF(D57="",10,D57),"",D54*(1+IF(D55="",0,D55))^ROUNDDOWN((19-1)/IF(D56="",5,D56),0)))</f>
        <v>113549.256</v>
      </c>
      <c r="G106" s="75" t="n">
        <f aca="false">IF(F106="","",IF((IF(D64="",IF($D$35="",0,$D$35),D64))=0,0,MAX(0,4993148.88-(IF(D65&lt;&gt;"",D65,IF($D$37&lt;&gt;"",$D$37,IF((IF(D64="",IF($D$35="",0,$D$35),D64))=0,0,D54/(IF(D64="",IF($D$35="",0,$D$35),D64)))))))*(IF(D64="",IF($D$35="",0,$D$35),D64))))</f>
        <v>0</v>
      </c>
      <c r="H106" s="75" t="n">
        <f aca="false">IF(F106="","",F106+G106)</f>
        <v>113549.256</v>
      </c>
      <c r="I106" s="75" t="str">
        <f aca="false">IF(E54="","",IF(19&gt;IF(E57="",10,E57),"",E54*(1+IF(E55="",0,E55))^ROUNDDOWN((19-1)/IF(E56="",5,E56),0)))</f>
        <v/>
      </c>
      <c r="J106" s="75" t="str">
        <f aca="false">IF(I106="","",IF((IF(E64="",IF($D$35="",0,$D$35),E64))=0,0,MAX(0,4993148.88-(IF(E65&lt;&gt;"",E65,IF($D$37&lt;&gt;"",$D$37,IF((IF(E64="",IF($D$35="",0,$D$35),E64))=0,0,E54/(IF(E64="",IF($D$35="",0,$D$35),E64)))))))*(IF(E64="",IF($D$35="",0,$D$35),E64))))</f>
        <v/>
      </c>
      <c r="K106" s="75" t="str">
        <f aca="false">IF(I106="","",I106+J106)</f>
        <v/>
      </c>
      <c r="L106" s="75" t="str">
        <f aca="false">IF(F54="","",IF(19&gt;IF(F57="",10,F57),"",F54*(1+IF(F55="",0,F55))^ROUNDDOWN((19-1)/IF(F56="",5,F56),0)))</f>
        <v/>
      </c>
      <c r="M106" s="75" t="str">
        <f aca="false">IF(L106="","",IF((IF(F64="",IF($D$35="",0,$D$35),F64))=0,0,MAX(0,4993148.88-(IF(F65&lt;&gt;"",F65,IF($D$37&lt;&gt;"",$D$37,IF((IF(F64="",IF($D$35="",0,$D$35),F64))=0,0,F54/(IF(F64="",IF($D$35="",0,$D$35),F64)))))))*(IF(F64="",IF($D$35="",0,$D$35),F64))))</f>
        <v/>
      </c>
      <c r="N106" s="75" t="str">
        <f aca="false">IF(L106="","",L106+M106)</f>
        <v/>
      </c>
      <c r="O106" s="75" t="str">
        <f aca="false">IF(G54="","",IF(19&gt;IF(G57="",10,G57),"",G54*(1+IF(G55="",0,G55))^ROUNDDOWN((19-1)/IF(G56="",5,G56),0)))</f>
        <v/>
      </c>
      <c r="P106" s="75" t="str">
        <f aca="false">IF(O106="","",IF((IF(G64="",IF($D$35="",0,$D$35),G64))=0,0,MAX(0,4993148.88-(IF(G65&lt;&gt;"",G65,IF($D$37&lt;&gt;"",$D$37,IF((IF(G64="",IF($D$35="",0,$D$35),G64))=0,0,G54/(IF(G64="",IF($D$35="",0,$D$35),G64)))))))*(IF(G64="",IF($D$35="",0,$D$35),G64))))</f>
        <v/>
      </c>
      <c r="Q106" s="75" t="str">
        <f aca="false">IF(O106="","",O106+P106)</f>
        <v/>
      </c>
      <c r="R106" s="75" t="str">
        <f aca="false">IF(H54="","",IF(19&gt;IF(H57="",10,H57),"",H54*(1+IF(H55="",0,H55))^ROUNDDOWN((19-1)/IF(H56="",5,H56),0)))</f>
        <v/>
      </c>
      <c r="S106" s="75" t="str">
        <f aca="false">IF(R106="","",IF((IF(H64="",IF($D$35="",0,$D$35),H64))=0,0,MAX(0,4993148.88-(IF(H65&lt;&gt;"",H65,IF($D$37&lt;&gt;"",$D$37,IF((IF(H64="",IF($D$35="",0,$D$35),H64))=0,0,H54/(IF(H64="",IF($D$35="",0,$D$35),H64)))))))*(IF(H64="",IF($D$35="",0,$D$35),H64))))</f>
        <v/>
      </c>
      <c r="T106" s="75" t="str">
        <f aca="false">IF(R106="","",R106+S106)</f>
        <v/>
      </c>
    </row>
    <row r="107" customFormat="false" ht="15" hidden="false" customHeight="false" outlineLevel="0" collapsed="false">
      <c r="A107" s="74" t="n">
        <v>20</v>
      </c>
      <c r="B107" s="75" t="n">
        <v>5093012</v>
      </c>
      <c r="C107" s="76" t="n">
        <v>136041</v>
      </c>
      <c r="D107" s="76" t="n">
        <v>0</v>
      </c>
      <c r="E107" s="76" t="n">
        <v>136041</v>
      </c>
      <c r="F107" s="75" t="n">
        <f aca="false">IF(D54="","",IF(20&gt;IF(D57="",10,D57),"",D54*(1+IF(D55="",0,D55))^ROUNDDOWN((20-1)/IF(D56="",5,D56),0)))</f>
        <v>113549.256</v>
      </c>
      <c r="G107" s="75" t="n">
        <f aca="false">IF(F107="","",IF((IF(D64="",IF($D$35="",0,$D$35),D64))=0,0,MAX(0,5093011.86-(IF(D65&lt;&gt;"",D65,IF($D$37&lt;&gt;"",$D$37,IF((IF(D64="",IF($D$35="",0,$D$35),D64))=0,0,D54/(IF(D64="",IF($D$35="",0,$D$35),D64)))))))*(IF(D64="",IF($D$35="",0,$D$35),D64))))</f>
        <v>0</v>
      </c>
      <c r="H107" s="75" t="n">
        <f aca="false">IF(F107="","",F107+G107)</f>
        <v>113549.256</v>
      </c>
      <c r="I107" s="75" t="str">
        <f aca="false">IF(E54="","",IF(20&gt;IF(E57="",10,E57),"",E54*(1+IF(E55="",0,E55))^ROUNDDOWN((20-1)/IF(E56="",5,E56),0)))</f>
        <v/>
      </c>
      <c r="J107" s="75" t="str">
        <f aca="false">IF(I107="","",IF((IF(E64="",IF($D$35="",0,$D$35),E64))=0,0,MAX(0,5093011.86-(IF(E65&lt;&gt;"",E65,IF($D$37&lt;&gt;"",$D$37,IF((IF(E64="",IF($D$35="",0,$D$35),E64))=0,0,E54/(IF(E64="",IF($D$35="",0,$D$35),E64)))))))*(IF(E64="",IF($D$35="",0,$D$35),E64))))</f>
        <v/>
      </c>
      <c r="K107" s="75" t="str">
        <f aca="false">IF(I107="","",I107+J107)</f>
        <v/>
      </c>
      <c r="L107" s="75" t="str">
        <f aca="false">IF(F54="","",IF(20&gt;IF(F57="",10,F57),"",F54*(1+IF(F55="",0,F55))^ROUNDDOWN((20-1)/IF(F56="",5,F56),0)))</f>
        <v/>
      </c>
      <c r="M107" s="75" t="str">
        <f aca="false">IF(L107="","",IF((IF(F64="",IF($D$35="",0,$D$35),F64))=0,0,MAX(0,5093011.86-(IF(F65&lt;&gt;"",F65,IF($D$37&lt;&gt;"",$D$37,IF((IF(F64="",IF($D$35="",0,$D$35),F64))=0,0,F54/(IF(F64="",IF($D$35="",0,$D$35),F64)))))))*(IF(F64="",IF($D$35="",0,$D$35),F64))))</f>
        <v/>
      </c>
      <c r="N107" s="75" t="str">
        <f aca="false">IF(L107="","",L107+M107)</f>
        <v/>
      </c>
      <c r="O107" s="75" t="str">
        <f aca="false">IF(G54="","",IF(20&gt;IF(G57="",10,G57),"",G54*(1+IF(G55="",0,G55))^ROUNDDOWN((20-1)/IF(G56="",5,G56),0)))</f>
        <v/>
      </c>
      <c r="P107" s="75" t="str">
        <f aca="false">IF(O107="","",IF((IF(G64="",IF($D$35="",0,$D$35),G64))=0,0,MAX(0,5093011.86-(IF(G65&lt;&gt;"",G65,IF($D$37&lt;&gt;"",$D$37,IF((IF(G64="",IF($D$35="",0,$D$35),G64))=0,0,G54/(IF(G64="",IF($D$35="",0,$D$35),G64)))))))*(IF(G64="",IF($D$35="",0,$D$35),G64))))</f>
        <v/>
      </c>
      <c r="Q107" s="75" t="str">
        <f aca="false">IF(O107="","",O107+P107)</f>
        <v/>
      </c>
      <c r="R107" s="75" t="str">
        <f aca="false">IF(H54="","",IF(20&gt;IF(H57="",10,H57),"",H54*(1+IF(H55="",0,H55))^ROUNDDOWN((20-1)/IF(H56="",5,H56),0)))</f>
        <v/>
      </c>
      <c r="S107" s="75" t="str">
        <f aca="false">IF(R107="","",IF((IF(H64="",IF($D$35="",0,$D$35),H64))=0,0,MAX(0,5093011.86-(IF(H65&lt;&gt;"",H65,IF($D$37&lt;&gt;"",$D$37,IF((IF(H64="",IF($D$35="",0,$D$35),H64))=0,0,H54/(IF(H64="",IF($D$35="",0,$D$35),H64)))))))*(IF(H64="",IF($D$35="",0,$D$35),H64))))</f>
        <v/>
      </c>
      <c r="T107" s="75" t="str">
        <f aca="false">IF(R107="","",R107+S107)</f>
        <v/>
      </c>
    </row>
    <row r="108" customFormat="false" ht="15" hidden="false" customHeight="false" outlineLevel="0" collapsed="false">
      <c r="A108" s="77" t="s">
        <v>394</v>
      </c>
      <c r="C108" s="78" t="n">
        <f aca="false">IF(COUNT(C88:C107)=0,"",SUM(C88:C107))</f>
        <v>2422670</v>
      </c>
      <c r="D108" s="78" t="n">
        <f aca="false">IF(COUNT(D88:D107)=0,"",SUM(D88:D107))</f>
        <v>0</v>
      </c>
      <c r="E108" s="78" t="n">
        <f aca="false">IF(COUNT(E88:E107)=0,"",SUM(E88:E107))</f>
        <v>2422670</v>
      </c>
      <c r="F108" s="78" t="n">
        <f aca="false">IF(COUNT(F88:F107)=0,"",SUM(F88:F107))</f>
        <v>2205060.28</v>
      </c>
      <c r="G108" s="78" t="n">
        <f aca="false">IF(COUNT(G88:G107)=0,"",SUM(G88:G107))</f>
        <v>0</v>
      </c>
      <c r="H108" s="78" t="n">
        <f aca="false">IF(COUNT(H88:H107)=0,"",SUM(H88:H107))</f>
        <v>2205060.28</v>
      </c>
      <c r="I108" s="78" t="str">
        <f aca="false">IF(COUNT(I88:I107)=0,"",SUM(I88:I107))</f>
        <v/>
      </c>
      <c r="J108" s="78" t="str">
        <f aca="false">IF(COUNT(J88:J107)=0,"",SUM(J88:J107))</f>
        <v/>
      </c>
      <c r="K108" s="78" t="str">
        <f aca="false">IF(COUNT(K88:K107)=0,"",SUM(K88:K107))</f>
        <v/>
      </c>
      <c r="L108" s="78" t="str">
        <f aca="false">IF(COUNT(L88:L107)=0,"",SUM(L88:L107))</f>
        <v/>
      </c>
      <c r="M108" s="78" t="str">
        <f aca="false">IF(COUNT(M88:M107)=0,"",SUM(M88:M107))</f>
        <v/>
      </c>
      <c r="N108" s="78" t="str">
        <f aca="false">IF(COUNT(N88:N107)=0,"",SUM(N88:N107))</f>
        <v/>
      </c>
      <c r="O108" s="78" t="str">
        <f aca="false">IF(COUNT(O88:O107)=0,"",SUM(O88:O107))</f>
        <v/>
      </c>
      <c r="P108" s="78" t="str">
        <f aca="false">IF(COUNT(P88:P107)=0,"",SUM(P88:P107))</f>
        <v/>
      </c>
      <c r="Q108" s="78" t="str">
        <f aca="false">IF(COUNT(Q88:Q107)=0,"",SUM(Q88:Q107))</f>
        <v/>
      </c>
      <c r="R108" s="78" t="str">
        <f aca="false">IF(COUNT(R88:R107)=0,"",SUM(R88:R107))</f>
        <v/>
      </c>
      <c r="S108" s="78" t="str">
        <f aca="false">IF(COUNT(S88:S107)=0,"",SUM(S88:S107))</f>
        <v/>
      </c>
      <c r="T108" s="78" t="str">
        <f aca="false">IF(COUNT(T88:T107)=0,"",SUM(T88:T107))</f>
        <v/>
      </c>
    </row>
    <row r="109" customFormat="false" ht="15" hidden="false" customHeight="false" outlineLevel="0" collapsed="false">
      <c r="A109" s="69" t="s">
        <v>395</v>
      </c>
      <c r="B109" s="69"/>
      <c r="C109" s="69"/>
      <c r="D109" s="69"/>
      <c r="E109" s="69"/>
      <c r="F109" s="69"/>
      <c r="G109" s="69"/>
      <c r="H109" s="69"/>
      <c r="I109" s="69"/>
      <c r="J109" s="69"/>
      <c r="K109" s="69"/>
      <c r="L109" s="69"/>
      <c r="M109" s="69"/>
      <c r="N109" s="69"/>
      <c r="O109" s="69"/>
      <c r="P109" s="69"/>
      <c r="Q109" s="69"/>
      <c r="R109" s="69"/>
      <c r="S109" s="69"/>
      <c r="T109" s="69"/>
    </row>
  </sheetData>
  <mergeCells count="83">
    <mergeCell ref="A2:J2"/>
    <mergeCell ref="A3:J3"/>
    <mergeCell ref="A4:J4"/>
    <mergeCell ref="A5:J5"/>
    <mergeCell ref="A6:J6"/>
    <mergeCell ref="A7:J7"/>
    <mergeCell ref="A8:J8"/>
    <mergeCell ref="A10:C10"/>
    <mergeCell ref="D10:J10"/>
    <mergeCell ref="A11:C11"/>
    <mergeCell ref="D11:J11"/>
    <mergeCell ref="A12:C12"/>
    <mergeCell ref="D12:J12"/>
    <mergeCell ref="A13:C13"/>
    <mergeCell ref="D13:J13"/>
    <mergeCell ref="A14:C14"/>
    <mergeCell ref="D14:J14"/>
    <mergeCell ref="G17:J17"/>
    <mergeCell ref="G18:J18"/>
    <mergeCell ref="G19:J19"/>
    <mergeCell ref="G20:J20"/>
    <mergeCell ref="A21:D21"/>
    <mergeCell ref="A22:J22"/>
    <mergeCell ref="A25:C25"/>
    <mergeCell ref="A26:C26"/>
    <mergeCell ref="E26:J26"/>
    <mergeCell ref="A27:C27"/>
    <mergeCell ref="E27:J27"/>
    <mergeCell ref="A28:C28"/>
    <mergeCell ref="A29:C29"/>
    <mergeCell ref="A30:C30"/>
    <mergeCell ref="E30:J30"/>
    <mergeCell ref="A31:J31"/>
    <mergeCell ref="A32:J32"/>
    <mergeCell ref="A35:C35"/>
    <mergeCell ref="E35:J35"/>
    <mergeCell ref="A36:C36"/>
    <mergeCell ref="E36:J36"/>
    <mergeCell ref="A37:C37"/>
    <mergeCell ref="E37:J37"/>
    <mergeCell ref="A38:C38"/>
    <mergeCell ref="E38:J38"/>
    <mergeCell ref="A39:C39"/>
    <mergeCell ref="A40:C40"/>
    <mergeCell ref="A41:C41"/>
    <mergeCell ref="A42:C42"/>
    <mergeCell ref="A49:G49"/>
    <mergeCell ref="A52:C52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2:C62"/>
    <mergeCell ref="A63:C63"/>
    <mergeCell ref="A64:C64"/>
    <mergeCell ref="A65:C65"/>
    <mergeCell ref="A66:C66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79:J79"/>
    <mergeCell ref="A81:J81"/>
    <mergeCell ref="A85:T85"/>
    <mergeCell ref="C86:E86"/>
    <mergeCell ref="F86:H86"/>
    <mergeCell ref="I86:K86"/>
    <mergeCell ref="L86:N86"/>
    <mergeCell ref="O86:Q86"/>
    <mergeCell ref="R86:T86"/>
    <mergeCell ref="A109:T109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T10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6"/>
    <col collapsed="false" customWidth="true" hidden="false" outlineLevel="0" max="2" min="2" style="0" width="22"/>
    <col collapsed="false" customWidth="true" hidden="false" outlineLevel="0" max="3" min="3" style="0" width="11"/>
    <col collapsed="false" customWidth="true" hidden="false" outlineLevel="0" max="4" min="4" style="0" width="14"/>
    <col collapsed="false" customWidth="true" hidden="false" outlineLevel="0" max="6" min="5" style="0" width="12"/>
    <col collapsed="false" customWidth="true" hidden="false" outlineLevel="0" max="7" min="7" style="0" width="14"/>
    <col collapsed="false" customWidth="true" hidden="false" outlineLevel="0" max="9" min="8" style="0" width="13"/>
    <col collapsed="false" customWidth="true" hidden="false" outlineLevel="0" max="10" min="10" style="0" width="26"/>
  </cols>
  <sheetData>
    <row r="1" customFormat="false" ht="16.15" hidden="false" customHeight="false" outlineLevel="0" collapsed="false">
      <c r="A1" s="3" t="s">
        <v>904</v>
      </c>
    </row>
    <row r="2" customFormat="false" ht="25.5" hidden="false" customHeight="true" outlineLevel="0" collapsed="false">
      <c r="A2" s="12" t="s">
        <v>251</v>
      </c>
      <c r="B2" s="12"/>
      <c r="C2" s="12"/>
      <c r="D2" s="12"/>
      <c r="E2" s="12"/>
      <c r="F2" s="12"/>
      <c r="G2" s="12"/>
      <c r="H2" s="12"/>
      <c r="I2" s="12"/>
      <c r="J2" s="12"/>
    </row>
    <row r="3" customFormat="false" ht="15" hidden="false" customHeight="true" outlineLevel="0" collapsed="false">
      <c r="A3" s="16" t="s">
        <v>905</v>
      </c>
      <c r="B3" s="16"/>
      <c r="C3" s="16"/>
      <c r="D3" s="16"/>
      <c r="E3" s="16"/>
      <c r="F3" s="16"/>
      <c r="G3" s="16"/>
      <c r="H3" s="16"/>
      <c r="I3" s="16"/>
      <c r="J3" s="16"/>
    </row>
    <row r="4" customFormat="false" ht="30" hidden="false" customHeight="true" outlineLevel="0" collapsed="false">
      <c r="A4" s="17" t="s">
        <v>100</v>
      </c>
      <c r="B4" s="17"/>
      <c r="C4" s="17"/>
      <c r="D4" s="17"/>
      <c r="E4" s="17"/>
      <c r="F4" s="17"/>
      <c r="G4" s="17"/>
      <c r="H4" s="17"/>
      <c r="I4" s="17"/>
      <c r="J4" s="17"/>
    </row>
    <row r="5" customFormat="false" ht="15" hidden="false" customHeight="true" outlineLevel="0" collapsed="false">
      <c r="A5" s="18" t="s">
        <v>17</v>
      </c>
      <c r="B5" s="18"/>
      <c r="C5" s="18"/>
      <c r="D5" s="18"/>
      <c r="E5" s="18"/>
      <c r="F5" s="18"/>
      <c r="G5" s="18"/>
      <c r="H5" s="18"/>
      <c r="I5" s="18"/>
      <c r="J5" s="18"/>
    </row>
    <row r="6" customFormat="false" ht="15" hidden="false" customHeight="true" outlineLevel="0" collapsed="false">
      <c r="A6" s="19" t="s">
        <v>101</v>
      </c>
      <c r="B6" s="19"/>
      <c r="C6" s="19"/>
      <c r="D6" s="19"/>
      <c r="E6" s="19"/>
      <c r="F6" s="19"/>
      <c r="G6" s="19"/>
      <c r="H6" s="19"/>
      <c r="I6" s="19"/>
      <c r="J6" s="19"/>
    </row>
    <row r="7" customFormat="false" ht="23.85" hidden="false" customHeight="true" outlineLevel="0" collapsed="false">
      <c r="A7" s="20" t="s">
        <v>906</v>
      </c>
      <c r="B7" s="20"/>
      <c r="C7" s="20"/>
      <c r="D7" s="20"/>
      <c r="E7" s="20"/>
      <c r="F7" s="20"/>
      <c r="G7" s="20"/>
      <c r="H7" s="20"/>
      <c r="I7" s="20"/>
      <c r="J7" s="20"/>
    </row>
    <row r="8" customFormat="false" ht="15" hidden="false" customHeight="true" outlineLevel="0" collapsed="false">
      <c r="A8" s="21" t="s">
        <v>254</v>
      </c>
      <c r="B8" s="21"/>
      <c r="C8" s="21"/>
      <c r="D8" s="21"/>
      <c r="E8" s="21"/>
      <c r="F8" s="21"/>
      <c r="G8" s="21"/>
      <c r="H8" s="21"/>
      <c r="I8" s="21"/>
      <c r="J8" s="21"/>
    </row>
    <row r="10" customFormat="false" ht="15" hidden="false" customHeight="true" outlineLevel="0" collapsed="false">
      <c r="A10" s="22" t="s">
        <v>255</v>
      </c>
      <c r="B10" s="22"/>
      <c r="C10" s="22"/>
      <c r="D10" s="23" t="s">
        <v>907</v>
      </c>
      <c r="E10" s="23"/>
      <c r="F10" s="23"/>
      <c r="G10" s="23"/>
      <c r="H10" s="23"/>
      <c r="I10" s="23"/>
      <c r="J10" s="23"/>
    </row>
    <row r="11" customFormat="false" ht="15" hidden="false" customHeight="true" outlineLevel="0" collapsed="false">
      <c r="A11" s="22" t="s">
        <v>257</v>
      </c>
      <c r="B11" s="22"/>
      <c r="C11" s="22"/>
      <c r="D11" s="23" t="s">
        <v>908</v>
      </c>
      <c r="E11" s="23"/>
      <c r="F11" s="23"/>
      <c r="G11" s="23"/>
      <c r="H11" s="23"/>
      <c r="I11" s="23"/>
      <c r="J11" s="23"/>
    </row>
    <row r="12" customFormat="false" ht="15" hidden="false" customHeight="true" outlineLevel="0" collapsed="false">
      <c r="A12" s="22" t="s">
        <v>259</v>
      </c>
      <c r="B12" s="22"/>
      <c r="C12" s="22"/>
      <c r="D12" s="86"/>
      <c r="E12" s="86"/>
      <c r="F12" s="86"/>
      <c r="G12" s="86"/>
      <c r="H12" s="86"/>
      <c r="I12" s="86"/>
      <c r="J12" s="86"/>
    </row>
    <row r="13" customFormat="false" ht="15" hidden="false" customHeight="true" outlineLevel="0" collapsed="false">
      <c r="A13" s="22" t="s">
        <v>261</v>
      </c>
      <c r="B13" s="22"/>
      <c r="C13" s="22"/>
      <c r="D13" s="24" t="n">
        <v>2364000</v>
      </c>
      <c r="E13" s="24"/>
      <c r="F13" s="24"/>
      <c r="G13" s="24"/>
      <c r="H13" s="24"/>
      <c r="I13" s="24"/>
      <c r="J13" s="24"/>
    </row>
    <row r="14" customFormat="false" ht="23.85" hidden="false" customHeight="true" outlineLevel="0" collapsed="false">
      <c r="A14" s="22" t="s">
        <v>262</v>
      </c>
      <c r="B14" s="22"/>
      <c r="C14" s="22"/>
      <c r="D14" s="22" t="s">
        <v>909</v>
      </c>
      <c r="E14" s="22"/>
      <c r="F14" s="22"/>
      <c r="G14" s="22"/>
      <c r="H14" s="22"/>
      <c r="I14" s="22"/>
      <c r="J14" s="22"/>
    </row>
    <row r="16" customFormat="false" ht="15" hidden="false" customHeight="false" outlineLevel="0" collapsed="false">
      <c r="A16" s="25" t="s">
        <v>264</v>
      </c>
    </row>
    <row r="17" customFormat="false" ht="22.35" hidden="false" customHeight="true" outlineLevel="0" collapsed="false">
      <c r="A17" s="26" t="s">
        <v>265</v>
      </c>
      <c r="B17" s="26" t="s">
        <v>266</v>
      </c>
      <c r="C17" s="26" t="s">
        <v>267</v>
      </c>
      <c r="D17" s="26" t="s">
        <v>268</v>
      </c>
      <c r="E17" s="26" t="s">
        <v>269</v>
      </c>
      <c r="F17" s="26" t="s">
        <v>270</v>
      </c>
      <c r="G17" s="26" t="s">
        <v>271</v>
      </c>
      <c r="H17" s="26"/>
      <c r="I17" s="26"/>
      <c r="J17" s="26"/>
    </row>
    <row r="18" customFormat="false" ht="19.4" hidden="false" customHeight="true" outlineLevel="0" collapsed="false">
      <c r="A18" s="27" t="s">
        <v>536</v>
      </c>
      <c r="B18" s="28" t="s">
        <v>494</v>
      </c>
      <c r="C18" s="28" t="s">
        <v>910</v>
      </c>
      <c r="D18" s="29" t="n">
        <v>11185.72</v>
      </c>
      <c r="E18" s="30" t="n">
        <f aca="false">IF(D18="","",D18*12)</f>
        <v>134228.64</v>
      </c>
      <c r="F18" s="31" t="n">
        <v>4.2</v>
      </c>
      <c r="G18" s="32" t="s">
        <v>911</v>
      </c>
      <c r="H18" s="32"/>
      <c r="I18" s="32"/>
      <c r="J18" s="32"/>
    </row>
    <row r="19" customFormat="false" ht="15" hidden="false" customHeight="true" outlineLevel="0" collapsed="false">
      <c r="A19" s="27" t="s">
        <v>884</v>
      </c>
      <c r="B19" s="28" t="s">
        <v>912</v>
      </c>
      <c r="C19" s="28" t="s">
        <v>913</v>
      </c>
      <c r="D19" s="80" t="n">
        <v>13534.72</v>
      </c>
      <c r="E19" s="30" t="n">
        <f aca="false">IF(D19="","",D19*12)</f>
        <v>162416.64</v>
      </c>
      <c r="F19" s="31" t="n">
        <v>5</v>
      </c>
      <c r="G19" s="32" t="s">
        <v>658</v>
      </c>
      <c r="H19" s="32"/>
      <c r="I19" s="32"/>
      <c r="J19" s="32"/>
    </row>
    <row r="20" customFormat="false" ht="15" hidden="false" customHeight="true" outlineLevel="0" collapsed="false">
      <c r="A20" s="27" t="s">
        <v>655</v>
      </c>
      <c r="B20" s="28" t="s">
        <v>914</v>
      </c>
      <c r="C20" s="28" t="s">
        <v>915</v>
      </c>
      <c r="D20" s="80" t="n">
        <v>14888.19</v>
      </c>
      <c r="E20" s="30" t="n">
        <f aca="false">IF(D20="","",D20*12)</f>
        <v>178658.28</v>
      </c>
      <c r="F20" s="31" t="n">
        <v>0.8</v>
      </c>
      <c r="G20" s="32" t="s">
        <v>658</v>
      </c>
      <c r="H20" s="32"/>
      <c r="I20" s="32"/>
      <c r="J20" s="32"/>
    </row>
    <row r="21" customFormat="false" ht="15" hidden="false" customHeight="false" outlineLevel="0" collapsed="false">
      <c r="A21" s="34" t="s">
        <v>284</v>
      </c>
      <c r="B21" s="34"/>
      <c r="C21" s="34"/>
      <c r="D21" s="34"/>
      <c r="E21" s="35" t="n">
        <f aca="false">IF(SUMPRODUCT(E18:E20,F18:F20)=0,"",SUMPRODUCT(E18:E20,F18:F20))</f>
        <v>1518770.112</v>
      </c>
      <c r="F21" s="36"/>
      <c r="G21" s="36"/>
      <c r="H21" s="36"/>
      <c r="I21" s="36"/>
      <c r="J21" s="36"/>
    </row>
    <row r="22" customFormat="false" ht="15" hidden="false" customHeight="false" outlineLevel="0" collapsed="false">
      <c r="A22" s="81" t="s">
        <v>483</v>
      </c>
      <c r="B22" s="81"/>
      <c r="C22" s="81"/>
      <c r="D22" s="81"/>
      <c r="E22" s="81"/>
      <c r="F22" s="81"/>
      <c r="G22" s="81"/>
      <c r="H22" s="81"/>
      <c r="I22" s="81"/>
      <c r="J22" s="81"/>
    </row>
    <row r="24" customFormat="false" ht="15" hidden="false" customHeight="false" outlineLevel="0" collapsed="false">
      <c r="A24" s="25" t="s">
        <v>286</v>
      </c>
    </row>
    <row r="25" customFormat="false" ht="15" hidden="false" customHeight="true" outlineLevel="0" collapsed="false">
      <c r="A25" s="22" t="s">
        <v>287</v>
      </c>
      <c r="B25" s="22"/>
      <c r="C25" s="22"/>
      <c r="D25" s="35" t="n">
        <v>134228.64</v>
      </c>
      <c r="E25" s="36"/>
      <c r="F25" s="36"/>
      <c r="G25" s="36"/>
      <c r="H25" s="36"/>
      <c r="I25" s="36"/>
      <c r="J25" s="36"/>
    </row>
    <row r="26" customFormat="false" ht="15" hidden="false" customHeight="true" outlineLevel="0" collapsed="false">
      <c r="A26" s="22" t="s">
        <v>288</v>
      </c>
      <c r="B26" s="22"/>
      <c r="C26" s="22"/>
      <c r="D26" s="38" t="n">
        <v>0.0567803045685279</v>
      </c>
      <c r="E26" s="39" t="s">
        <v>289</v>
      </c>
      <c r="F26" s="39"/>
      <c r="G26" s="39"/>
      <c r="H26" s="39"/>
      <c r="I26" s="39"/>
      <c r="J26" s="39"/>
    </row>
    <row r="27" customFormat="false" ht="23.85" hidden="false" customHeight="true" outlineLevel="0" collapsed="false">
      <c r="A27" s="22" t="s">
        <v>916</v>
      </c>
      <c r="B27" s="22"/>
      <c r="C27" s="22"/>
      <c r="D27" s="35" t="n">
        <v>13274.4</v>
      </c>
      <c r="E27" s="39" t="s">
        <v>291</v>
      </c>
      <c r="F27" s="39"/>
      <c r="G27" s="39"/>
      <c r="H27" s="39"/>
      <c r="I27" s="39"/>
      <c r="J27" s="39"/>
    </row>
    <row r="28" customFormat="false" ht="15" hidden="false" customHeight="true" outlineLevel="0" collapsed="false">
      <c r="A28" s="22" t="s">
        <v>292</v>
      </c>
      <c r="B28" s="22"/>
      <c r="C28" s="22"/>
      <c r="D28" s="35" t="n">
        <v>0</v>
      </c>
      <c r="E28" s="36"/>
      <c r="F28" s="36"/>
      <c r="G28" s="36"/>
      <c r="H28" s="36"/>
      <c r="I28" s="36"/>
      <c r="J28" s="36"/>
    </row>
    <row r="29" customFormat="false" ht="15" hidden="false" customHeight="true" outlineLevel="0" collapsed="false">
      <c r="A29" s="22" t="s">
        <v>293</v>
      </c>
      <c r="B29" s="22"/>
      <c r="C29" s="22"/>
      <c r="D29" s="35" t="n">
        <v>147503.04</v>
      </c>
      <c r="E29" s="36"/>
      <c r="F29" s="36"/>
      <c r="G29" s="36"/>
      <c r="H29" s="36"/>
      <c r="I29" s="36"/>
      <c r="J29" s="36"/>
    </row>
    <row r="30" customFormat="false" ht="15" hidden="false" customHeight="true" outlineLevel="0" collapsed="false">
      <c r="A30" s="22" t="s">
        <v>294</v>
      </c>
      <c r="B30" s="22"/>
      <c r="C30" s="22"/>
      <c r="D30" s="38" t="n">
        <v>0.0623955329949239</v>
      </c>
      <c r="E30" s="39" t="s">
        <v>295</v>
      </c>
      <c r="F30" s="39"/>
      <c r="G30" s="39"/>
      <c r="H30" s="39"/>
      <c r="I30" s="39"/>
      <c r="J30" s="39"/>
    </row>
    <row r="31" customFormat="false" ht="27.75" hidden="false" customHeight="true" outlineLevel="0" collapsed="false">
      <c r="A31" s="40" t="s">
        <v>917</v>
      </c>
      <c r="B31" s="40"/>
      <c r="C31" s="40"/>
      <c r="D31" s="40"/>
      <c r="E31" s="40"/>
      <c r="F31" s="40"/>
      <c r="G31" s="40"/>
      <c r="H31" s="40"/>
      <c r="I31" s="40"/>
      <c r="J31" s="40"/>
    </row>
    <row r="32" customFormat="false" ht="15" hidden="false" customHeight="false" outlineLevel="0" collapsed="false">
      <c r="A32" s="41" t="s">
        <v>918</v>
      </c>
      <c r="B32" s="41"/>
      <c r="C32" s="41"/>
      <c r="D32" s="41"/>
      <c r="E32" s="41"/>
      <c r="F32" s="41"/>
      <c r="G32" s="41"/>
      <c r="H32" s="41"/>
      <c r="I32" s="41"/>
      <c r="J32" s="41"/>
    </row>
    <row r="34" customFormat="false" ht="15" hidden="false" customHeight="false" outlineLevel="0" collapsed="false">
      <c r="A34" s="25" t="s">
        <v>298</v>
      </c>
    </row>
    <row r="35" customFormat="false" ht="15" hidden="false" customHeight="true" outlineLevel="0" collapsed="false">
      <c r="A35" s="22" t="s">
        <v>299</v>
      </c>
      <c r="B35" s="22"/>
      <c r="C35" s="22"/>
      <c r="D35" s="42" t="n">
        <v>0</v>
      </c>
      <c r="E35" s="43" t="s">
        <v>300</v>
      </c>
      <c r="F35" s="43"/>
      <c r="G35" s="43"/>
      <c r="H35" s="43"/>
      <c r="I35" s="43"/>
      <c r="J35" s="43"/>
    </row>
    <row r="36" customFormat="false" ht="15" hidden="false" customHeight="true" outlineLevel="0" collapsed="false">
      <c r="A36" s="22" t="s">
        <v>301</v>
      </c>
      <c r="B36" s="22"/>
      <c r="C36" s="22"/>
      <c r="D36" s="34" t="s">
        <v>302</v>
      </c>
      <c r="E36" s="43" t="s">
        <v>303</v>
      </c>
      <c r="F36" s="43"/>
      <c r="G36" s="43"/>
      <c r="H36" s="43"/>
      <c r="I36" s="43"/>
      <c r="J36" s="43"/>
    </row>
    <row r="37" customFormat="false" ht="15" hidden="false" customHeight="true" outlineLevel="0" collapsed="false">
      <c r="A37" s="22" t="s">
        <v>304</v>
      </c>
      <c r="B37" s="22"/>
      <c r="C37" s="22"/>
      <c r="D37" s="44"/>
      <c r="E37" s="43" t="s">
        <v>305</v>
      </c>
      <c r="F37" s="43"/>
      <c r="G37" s="43"/>
      <c r="H37" s="43"/>
      <c r="I37" s="43"/>
      <c r="J37" s="43"/>
    </row>
    <row r="38" customFormat="false" ht="23.85" hidden="false" customHeight="true" outlineLevel="0" collapsed="false">
      <c r="A38" s="22" t="s">
        <v>306</v>
      </c>
      <c r="B38" s="22"/>
      <c r="C38" s="22"/>
      <c r="D38" s="45" t="str">
        <f aca="false">IF(OR($D$35="",E18=""),"",IF($D$35=0,"— (no % rent)",E18/$D$35))</f>
        <v>— (no % rent)</v>
      </c>
      <c r="E38" s="43" t="s">
        <v>307</v>
      </c>
      <c r="F38" s="43"/>
      <c r="G38" s="43"/>
      <c r="H38" s="43"/>
      <c r="I38" s="43"/>
      <c r="J38" s="43"/>
    </row>
    <row r="39" customFormat="false" ht="23.85" hidden="false" customHeight="true" outlineLevel="0" collapsed="false">
      <c r="A39" s="22" t="s">
        <v>308</v>
      </c>
      <c r="B39" s="22"/>
      <c r="C39" s="22"/>
      <c r="D39" s="45" t="str">
        <f aca="false">IF($D$35="","",IF($D$35=0,"— (no % rent)",IF($D$37&lt;&gt;"",$D$37,IF(E18="","",E18/$D$35))))</f>
        <v>— (no % rent)</v>
      </c>
      <c r="E39" s="36"/>
      <c r="F39" s="36"/>
      <c r="G39" s="36"/>
      <c r="H39" s="36"/>
      <c r="I39" s="36"/>
      <c r="J39" s="36"/>
    </row>
    <row r="40" customFormat="false" ht="15" hidden="false" customHeight="true" outlineLevel="0" collapsed="false">
      <c r="A40" s="22" t="s">
        <v>309</v>
      </c>
      <c r="B40" s="22"/>
      <c r="C40" s="22"/>
      <c r="D40" s="45" t="n">
        <f aca="false">IF(OR($D$35="",D13=""),"",IF($D$35=0,0,IF($D$39="","",MAX(0,D13-$D$39)*$D$35)))</f>
        <v>0</v>
      </c>
      <c r="E40" s="36"/>
      <c r="F40" s="36"/>
      <c r="G40" s="36"/>
      <c r="H40" s="36"/>
      <c r="I40" s="36"/>
      <c r="J40" s="36"/>
    </row>
    <row r="41" customFormat="false" ht="15" hidden="false" customHeight="true" outlineLevel="0" collapsed="false">
      <c r="A41" s="22" t="s">
        <v>310</v>
      </c>
      <c r="B41" s="22"/>
      <c r="C41" s="22"/>
      <c r="D41" s="45" t="n">
        <f aca="false">IF(OR(D40="",E18=""),"",E18+D40)</f>
        <v>134228.64</v>
      </c>
      <c r="E41" s="36"/>
      <c r="F41" s="36"/>
      <c r="G41" s="36"/>
      <c r="H41" s="36"/>
      <c r="I41" s="36"/>
      <c r="J41" s="36"/>
    </row>
    <row r="42" customFormat="false" ht="15" hidden="false" customHeight="true" outlineLevel="0" collapsed="false">
      <c r="A42" s="22" t="s">
        <v>311</v>
      </c>
      <c r="B42" s="22"/>
      <c r="C42" s="22"/>
      <c r="D42" s="46" t="n">
        <f aca="false">IF(OR(D41="",D13=""),"",D41/D13)</f>
        <v>0.0567803045685279</v>
      </c>
      <c r="E42" s="36"/>
      <c r="F42" s="36"/>
      <c r="G42" s="36"/>
      <c r="H42" s="36"/>
      <c r="I42" s="36"/>
      <c r="J42" s="36"/>
    </row>
    <row r="44" customFormat="false" ht="15" hidden="false" customHeight="false" outlineLevel="0" collapsed="false">
      <c r="A44" s="25" t="s">
        <v>312</v>
      </c>
    </row>
    <row r="45" customFormat="false" ht="22.35" hidden="false" customHeight="false" outlineLevel="0" collapsed="false">
      <c r="A45" s="26" t="s">
        <v>313</v>
      </c>
      <c r="B45" s="26" t="s">
        <v>314</v>
      </c>
      <c r="C45" s="26" t="s">
        <v>315</v>
      </c>
      <c r="D45" s="26" t="s">
        <v>316</v>
      </c>
      <c r="E45" s="26" t="s">
        <v>317</v>
      </c>
      <c r="F45" s="26" t="s">
        <v>318</v>
      </c>
      <c r="G45" s="26" t="s">
        <v>319</v>
      </c>
      <c r="H45" s="26" t="s">
        <v>269</v>
      </c>
      <c r="I45" s="26" t="s">
        <v>320</v>
      </c>
      <c r="J45" s="26" t="s">
        <v>321</v>
      </c>
    </row>
    <row r="46" customFormat="false" ht="22.35" hidden="false" customHeight="false" outlineLevel="0" collapsed="false">
      <c r="A46" s="48"/>
      <c r="B46" s="47" t="s">
        <v>422</v>
      </c>
      <c r="C46" s="48"/>
      <c r="D46" s="48"/>
      <c r="E46" s="48"/>
      <c r="F46" s="48"/>
      <c r="G46" s="48"/>
      <c r="H46" s="48"/>
      <c r="I46" s="48"/>
      <c r="J46" s="47" t="s">
        <v>423</v>
      </c>
    </row>
    <row r="47" customFormat="false" ht="15" hidden="false" customHeight="false" outlineLevel="0" collapsed="false">
      <c r="A47" s="52" t="s">
        <v>344</v>
      </c>
      <c r="B47" s="52"/>
      <c r="C47" s="52"/>
      <c r="D47" s="52"/>
      <c r="E47" s="52"/>
      <c r="F47" s="52"/>
      <c r="G47" s="52"/>
      <c r="H47" s="53" t="str">
        <f aca="false">IF(COUNT(H46:H46)=0,"",AVERAGE(H46:H46))</f>
        <v/>
      </c>
      <c r="I47" s="52" t="str">
        <f aca="false">IF(COUNT(H46:H46)=0,"",TEXT(MIN(H46:H46),"$#,##0")&amp;" – "&amp;TEXT(MAX(H46:H46),"$#,##0"))</f>
        <v/>
      </c>
      <c r="J47" s="36"/>
    </row>
    <row r="49" customFormat="false" ht="15" hidden="false" customHeight="false" outlineLevel="0" collapsed="false">
      <c r="A49" s="25" t="s">
        <v>345</v>
      </c>
    </row>
    <row r="50" customFormat="false" ht="53.7" hidden="false" customHeight="true" outlineLevel="0" collapsed="false">
      <c r="A50" s="26" t="s">
        <v>346</v>
      </c>
      <c r="B50" s="26"/>
      <c r="C50" s="26"/>
      <c r="D50" s="26" t="s">
        <v>347</v>
      </c>
      <c r="E50" s="26" t="s">
        <v>348</v>
      </c>
      <c r="F50" s="26" t="s">
        <v>349</v>
      </c>
      <c r="G50" s="26" t="s">
        <v>350</v>
      </c>
      <c r="H50" s="54" t="s">
        <v>351</v>
      </c>
    </row>
    <row r="51" customFormat="false" ht="68.65" hidden="false" customHeight="true" outlineLevel="0" collapsed="false">
      <c r="A51" s="22" t="s">
        <v>352</v>
      </c>
      <c r="B51" s="22"/>
      <c r="C51" s="22"/>
      <c r="D51" s="55" t="s">
        <v>353</v>
      </c>
      <c r="E51" s="56"/>
      <c r="F51" s="56"/>
      <c r="G51" s="56"/>
      <c r="H51" s="56"/>
    </row>
    <row r="52" customFormat="false" ht="15" hidden="false" customHeight="true" outlineLevel="0" collapsed="false">
      <c r="A52" s="22" t="s">
        <v>354</v>
      </c>
      <c r="B52" s="22"/>
      <c r="C52" s="22"/>
      <c r="D52" s="57" t="n">
        <v>134229</v>
      </c>
      <c r="E52" s="57"/>
      <c r="F52" s="57"/>
      <c r="G52" s="57"/>
      <c r="H52" s="57"/>
    </row>
    <row r="53" customFormat="false" ht="15" hidden="false" customHeight="true" outlineLevel="0" collapsed="false">
      <c r="A53" s="22" t="s">
        <v>355</v>
      </c>
      <c r="B53" s="22"/>
      <c r="C53" s="22"/>
      <c r="D53" s="82" t="n">
        <v>0.02</v>
      </c>
      <c r="E53" s="58"/>
      <c r="F53" s="58"/>
      <c r="G53" s="58"/>
      <c r="H53" s="58"/>
    </row>
    <row r="54" customFormat="false" ht="15" hidden="false" customHeight="true" outlineLevel="0" collapsed="false">
      <c r="A54" s="22" t="s">
        <v>356</v>
      </c>
      <c r="B54" s="22"/>
      <c r="C54" s="22"/>
      <c r="D54" s="56" t="n">
        <v>5</v>
      </c>
      <c r="E54" s="56"/>
      <c r="F54" s="56"/>
      <c r="G54" s="56"/>
      <c r="H54" s="56"/>
    </row>
    <row r="55" customFormat="false" ht="15" hidden="false" customHeight="true" outlineLevel="0" collapsed="false">
      <c r="A55" s="22" t="s">
        <v>357</v>
      </c>
      <c r="B55" s="22"/>
      <c r="C55" s="22"/>
      <c r="D55" s="59" t="n">
        <v>20</v>
      </c>
      <c r="E55" s="59"/>
      <c r="F55" s="59"/>
      <c r="G55" s="59"/>
      <c r="H55" s="59"/>
    </row>
    <row r="56" customFormat="false" ht="15" hidden="false" customHeight="true" outlineLevel="0" collapsed="false">
      <c r="A56" s="22" t="s">
        <v>358</v>
      </c>
      <c r="B56" s="22"/>
      <c r="C56" s="22"/>
      <c r="D56" s="60" t="n">
        <f aca="false">IF(OR(D52="",E18=""),"",D52-E18)</f>
        <v>0.360000000015134</v>
      </c>
      <c r="E56" s="60" t="str">
        <f aca="false">IF(OR(E52="",E18=""),"",E52-E18)</f>
        <v/>
      </c>
      <c r="F56" s="60" t="str">
        <f aca="false">IF(OR(F52="",E18=""),"",F52-E18)</f>
        <v/>
      </c>
      <c r="G56" s="60" t="str">
        <f aca="false">IF(OR(G52="",E18=""),"",G52-E18)</f>
        <v/>
      </c>
      <c r="H56" s="60" t="str">
        <f aca="false">IF(OR(H52="",E18=""),"",H52-E18)</f>
        <v/>
      </c>
    </row>
    <row r="57" customFormat="false" ht="15" hidden="false" customHeight="true" outlineLevel="0" collapsed="false">
      <c r="A57" s="22" t="s">
        <v>359</v>
      </c>
      <c r="B57" s="22"/>
      <c r="C57" s="22"/>
      <c r="D57" s="61" t="n">
        <f aca="false">IF(OR(D52="",E18=""),"",(D52-E18)/E18)</f>
        <v>2.68199096716717E-006</v>
      </c>
      <c r="E57" s="61" t="str">
        <f aca="false">IF(OR(E52="",E18=""),"",(E52-E18)/E18)</f>
        <v/>
      </c>
      <c r="F57" s="61" t="str">
        <f aca="false">IF(OR(F52="",E18=""),"",(F52-E18)/E18)</f>
        <v/>
      </c>
      <c r="G57" s="61" t="str">
        <f aca="false">IF(OR(G52="",E18=""),"",(G52-E18)/E18)</f>
        <v/>
      </c>
      <c r="H57" s="61" t="str">
        <f aca="false">IF(OR(H52="",E18=""),"",(H52-E18)/E18)</f>
        <v/>
      </c>
    </row>
    <row r="58" customFormat="false" ht="15" hidden="false" customHeight="true" outlineLevel="0" collapsed="false">
      <c r="A58" s="22" t="s">
        <v>360</v>
      </c>
      <c r="B58" s="22"/>
      <c r="C58" s="22"/>
      <c r="D58" s="62" t="n">
        <f aca="false">IF(OR(D52="",D13=""),"",D52/D13)</f>
        <v>0.0567804568527919</v>
      </c>
      <c r="E58" s="62" t="str">
        <f aca="false">IF(OR(E52="",D13=""),"",E52/D13)</f>
        <v/>
      </c>
      <c r="F58" s="62" t="str">
        <f aca="false">IF(OR(F52="",D13=""),"",F52/D13)</f>
        <v/>
      </c>
      <c r="G58" s="62" t="str">
        <f aca="false">IF(OR(G52="",D13=""),"",G52/D13)</f>
        <v/>
      </c>
      <c r="H58" s="62" t="str">
        <f aca="false">IF(OR(H52="",D13=""),"",H52/D13)</f>
        <v/>
      </c>
    </row>
    <row r="59" customFormat="false" ht="15" hidden="false" customHeight="true" outlineLevel="0" collapsed="false">
      <c r="A59" s="22" t="s">
        <v>361</v>
      </c>
      <c r="B59" s="22"/>
      <c r="C59" s="22"/>
      <c r="D59" s="61" t="str">
        <f aca="false">IF(OR(D52="",H47=""),"",(D52-H47)/H47)</f>
        <v/>
      </c>
      <c r="E59" s="61" t="str">
        <f aca="false">IF(OR(E52="",H47=""),"",(E52-H47)/H47)</f>
        <v/>
      </c>
      <c r="F59" s="61" t="str">
        <f aca="false">IF(OR(F52="",H47=""),"",(F52-H47)/H47)</f>
        <v/>
      </c>
      <c r="G59" s="61" t="str">
        <f aca="false">IF(OR(G52="",H47=""),"",(G52-H47)/H47)</f>
        <v/>
      </c>
      <c r="H59" s="61" t="str">
        <f aca="false">IF(OR(H52="",H47=""),"",(H52-H47)/H47)</f>
        <v/>
      </c>
    </row>
    <row r="60" customFormat="false" ht="15" hidden="false" customHeight="true" outlineLevel="0" collapsed="false">
      <c r="A60" s="22" t="s">
        <v>362</v>
      </c>
      <c r="B60" s="22"/>
      <c r="C60" s="22"/>
      <c r="D60" s="63" t="n">
        <f aca="true">IF(D52="","",SUMPRODUCT(D52*(1+IF(D53="",0,D53))^ROUNDDOWN((ROW(INDIRECT("1:10"))-1)/IF(D54="",5,D54),0)))</f>
        <v>1355712.9</v>
      </c>
      <c r="E60" s="63" t="str">
        <f aca="true">IF(E52="","",SUMPRODUCT(E52*(1+IF(E53="",0,E53))^ROUNDDOWN((ROW(INDIRECT("1:10"))-1)/IF(E54="",5,E54),0)))</f>
        <v/>
      </c>
      <c r="F60" s="63" t="str">
        <f aca="true">IF(F52="","",SUMPRODUCT(F52*(1+IF(F53="",0,F53))^ROUNDDOWN((ROW(INDIRECT("1:10"))-1)/IF(F54="",5,F54),0)))</f>
        <v/>
      </c>
      <c r="G60" s="63" t="str">
        <f aca="true">IF(G52="","",SUMPRODUCT(G52*(1+IF(G53="",0,G53))^ROUNDDOWN((ROW(INDIRECT("1:10"))-1)/IF(G54="",5,G54),0)))</f>
        <v/>
      </c>
      <c r="H60" s="63" t="str">
        <f aca="true">IF(H52="","",SUMPRODUCT(H52*(1+IF(H53="",0,H53))^ROUNDDOWN((ROW(INDIRECT("1:10"))-1)/IF(H54="",5,H54),0)))</f>
        <v/>
      </c>
    </row>
    <row r="61" customFormat="false" ht="15" hidden="false" customHeight="true" outlineLevel="0" collapsed="false">
      <c r="A61" s="22" t="s">
        <v>363</v>
      </c>
      <c r="B61" s="22"/>
      <c r="C61" s="22"/>
      <c r="D61" s="60" t="n">
        <f aca="false">IF(OR(D60="",E21=""),"",D60-E21)</f>
        <v>-163057.212</v>
      </c>
      <c r="E61" s="60" t="str">
        <f aca="false">IF(OR(E60="",E21=""),"",E60-E21)</f>
        <v/>
      </c>
      <c r="F61" s="60" t="str">
        <f aca="false">IF(OR(F60="",E21=""),"",F60-E21)</f>
        <v/>
      </c>
      <c r="G61" s="60" t="str">
        <f aca="false">IF(OR(G60="",E21=""),"",G60-E21)</f>
        <v/>
      </c>
      <c r="H61" s="60" t="str">
        <f aca="false">IF(OR(H60="",E21=""),"",H60-E21)</f>
        <v/>
      </c>
    </row>
    <row r="62" customFormat="false" ht="23.85" hidden="false" customHeight="true" outlineLevel="0" collapsed="false">
      <c r="A62" s="22" t="s">
        <v>364</v>
      </c>
      <c r="B62" s="22"/>
      <c r="C62" s="22"/>
      <c r="D62" s="58"/>
      <c r="E62" s="58"/>
      <c r="F62" s="58"/>
      <c r="G62" s="58"/>
      <c r="H62" s="58"/>
    </row>
    <row r="63" customFormat="false" ht="23.85" hidden="false" customHeight="true" outlineLevel="0" collapsed="false">
      <c r="A63" s="22" t="s">
        <v>365</v>
      </c>
      <c r="B63" s="22"/>
      <c r="C63" s="22"/>
      <c r="D63" s="57"/>
      <c r="E63" s="57"/>
      <c r="F63" s="57"/>
      <c r="G63" s="57"/>
      <c r="H63" s="57"/>
    </row>
    <row r="64" customFormat="false" ht="15" hidden="false" customHeight="true" outlineLevel="0" collapsed="false">
      <c r="A64" s="22" t="s">
        <v>366</v>
      </c>
      <c r="B64" s="22"/>
      <c r="C64" s="22"/>
      <c r="D64" s="63" t="str">
        <f aca="false">IF(OR(D52="",AND(D62="",$D$35="")),"",IF(IF(D62="",IF($D$35="",0,$D$35),D62)=0,"— (% rent removed)",IF(D63&lt;&gt;"",D63,IF($D$37&lt;&gt;"",$D$37,D52/IF(D62="",IF($D$35="",0,$D$35),D62)))))</f>
        <v>— (% rent removed)</v>
      </c>
      <c r="E64" s="63" t="str">
        <f aca="false">IF(OR(E52="",AND(E62="",$D$35="")),"",IF(IF(E62="",IF($D$35="",0,$D$35),E62)=0,"— (% rent removed)",IF(E63&lt;&gt;"",E63,IF($D$37&lt;&gt;"",$D$37,E52/IF(E62="",IF($D$35="",0,$D$35),E62)))))</f>
        <v/>
      </c>
      <c r="F64" s="63" t="str">
        <f aca="false">IF(OR(F52="",AND(F62="",$D$35="")),"",IF(IF(F62="",IF($D$35="",0,$D$35),F62)=0,"— (% rent removed)",IF(F63&lt;&gt;"",F63,IF($D$37&lt;&gt;"",$D$37,F52/IF(F62="",IF($D$35="",0,$D$35),F62)))))</f>
        <v/>
      </c>
      <c r="G64" s="63" t="str">
        <f aca="false">IF(OR(G52="",AND(G62="",$D$35="")),"",IF(IF(G62="",IF($D$35="",0,$D$35),G62)=0,"— (% rent removed)",IF(G63&lt;&gt;"",G63,IF($D$37&lt;&gt;"",$D$37,G52/IF(G62="",IF($D$35="",0,$D$35),G62)))))</f>
        <v/>
      </c>
      <c r="H64" s="63" t="str">
        <f aca="false">IF(OR(H52="",AND(H62="",$D$35="")),"",IF(IF(H62="",IF($D$35="",0,$D$35),H62)=0,"— (% rent removed)",IF(H63&lt;&gt;"",H63,IF($D$37&lt;&gt;"",$D$37,H52/IF(H62="",IF($D$35="",0,$D$35),H62)))))</f>
        <v/>
      </c>
    </row>
    <row r="65" customFormat="false" ht="15" hidden="false" customHeight="true" outlineLevel="0" collapsed="false">
      <c r="A65" s="22" t="s">
        <v>367</v>
      </c>
      <c r="B65" s="22"/>
      <c r="C65" s="22"/>
      <c r="D65" s="63" t="n">
        <f aca="false">IF(OR(D52="",AND(D62="",$D$35=""),D13=""),"",IF(IF(D62="",IF($D$35="",0,$D$35),D62)=0,0,MAX(0,D13-D64)*IF(D62="",IF($D$35="",0,$D$35),D62)))</f>
        <v>0</v>
      </c>
      <c r="E65" s="63" t="str">
        <f aca="false">IF(OR(E52="",AND(E62="",$D$35=""),D13=""),"",IF(IF(E62="",IF($D$35="",0,$D$35),E62)=0,0,MAX(0,D13-E64)*IF(E62="",IF($D$35="",0,$D$35),E62)))</f>
        <v/>
      </c>
      <c r="F65" s="63" t="str">
        <f aca="false">IF(OR(F52="",AND(F62="",$D$35=""),D13=""),"",IF(IF(F62="",IF($D$35="",0,$D$35),F62)=0,0,MAX(0,D13-F64)*IF(F62="",IF($D$35="",0,$D$35),F62)))</f>
        <v/>
      </c>
      <c r="G65" s="63" t="str">
        <f aca="false">IF(OR(G52="",AND(G62="",$D$35=""),D13=""),"",IF(IF(G62="",IF($D$35="",0,$D$35),G62)=0,0,MAX(0,D13-G64)*IF(G62="",IF($D$35="",0,$D$35),G62)))</f>
        <v/>
      </c>
      <c r="H65" s="63" t="str">
        <f aca="false">IF(OR(H52="",AND(H62="",$D$35=""),D13=""),"",IF(IF(H62="",IF($D$35="",0,$D$35),H62)=0,0,MAX(0,D13-H64)*IF(H62="",IF($D$35="",0,$D$35),H62)))</f>
        <v/>
      </c>
    </row>
    <row r="66" customFormat="false" ht="15" hidden="false" customHeight="true" outlineLevel="0" collapsed="false">
      <c r="A66" s="22" t="s">
        <v>368</v>
      </c>
      <c r="B66" s="22"/>
      <c r="C66" s="22"/>
      <c r="D66" s="63" t="n">
        <f aca="false">IF(OR(D52="",D65=""),"",D52+D65)</f>
        <v>134229</v>
      </c>
      <c r="E66" s="63" t="str">
        <f aca="false">IF(OR(E52="",E65=""),"",E52+E65)</f>
        <v/>
      </c>
      <c r="F66" s="63" t="str">
        <f aca="false">IF(OR(F52="",F65=""),"",F52+F65)</f>
        <v/>
      </c>
      <c r="G66" s="63" t="str">
        <f aca="false">IF(OR(G52="",G65=""),"",G52+G65)</f>
        <v/>
      </c>
      <c r="H66" s="63" t="str">
        <f aca="false">IF(OR(H52="",H65=""),"",H52+H65)</f>
        <v/>
      </c>
    </row>
    <row r="67" customFormat="false" ht="15" hidden="false" customHeight="true" outlineLevel="0" collapsed="false">
      <c r="A67" s="22" t="s">
        <v>369</v>
      </c>
      <c r="B67" s="22"/>
      <c r="C67" s="22"/>
      <c r="D67" s="62" t="n">
        <f aca="false">IF(OR(D66="",D13=""),"",D66/D13)</f>
        <v>0.0567804568527919</v>
      </c>
      <c r="E67" s="62" t="str">
        <f aca="false">IF(OR(E66="",D13=""),"",E66/D13)</f>
        <v/>
      </c>
      <c r="F67" s="62" t="str">
        <f aca="false">IF(OR(F66="",D13=""),"",F66/D13)</f>
        <v/>
      </c>
      <c r="G67" s="62" t="str">
        <f aca="false">IF(OR(G66="",D13=""),"",G66/D13)</f>
        <v/>
      </c>
      <c r="H67" s="62" t="str">
        <f aca="false">IF(OR(H66="",D13=""),"",H66/D13)</f>
        <v/>
      </c>
    </row>
    <row r="68" customFormat="false" ht="23.85" hidden="false" customHeight="true" outlineLevel="0" collapsed="false">
      <c r="A68" s="22" t="s">
        <v>370</v>
      </c>
      <c r="B68" s="22"/>
      <c r="C68" s="22"/>
      <c r="D68" s="64" t="n">
        <f aca="false">IF(D66="","",(882932.79-D66)/2359212.76)</f>
        <v>0.317353230151231</v>
      </c>
      <c r="E68" s="64" t="str">
        <f aca="false">IF(E66="","",(882932.79-E66)/2359212.76)</f>
        <v/>
      </c>
      <c r="F68" s="64" t="str">
        <f aca="false">IF(F66="","",(882932.79-F66)/2359212.76)</f>
        <v/>
      </c>
      <c r="G68" s="64" t="str">
        <f aca="false">IF(G66="","",(882932.79-G66)/2359212.76)</f>
        <v/>
      </c>
      <c r="H68" s="64" t="str">
        <f aca="false">IF(H66="","",(882932.79-H66)/2359212.76)</f>
        <v/>
      </c>
    </row>
    <row r="69" customFormat="false" ht="15" hidden="false" customHeight="true" outlineLevel="0" collapsed="false">
      <c r="A69" s="22" t="s">
        <v>371</v>
      </c>
      <c r="B69" s="22"/>
      <c r="C69" s="22"/>
      <c r="D69" s="63" t="n">
        <f aca="true">IF(OR(D52="",AND(D62="",$D$35=""),D13=""),"",IF(IF(D62="",IF($D$35="",0,$D$35),D62)=0,0,SUMPRODUCT(((D13*1.02^(ROW(INDIRECT("1:10"))-1))-(IF(D63&lt;&gt;"",D63,IF($D$37&lt;&gt;"",$D$37,(D52*(1+IF(D53="",0,D53))^ROUNDDOWN((ROW(INDIRECT("1:10"))-1)/IF(D54="",5,D54),0))/IF(D62="",IF($D$35="",0,$D$35),D62))))&gt;0)*((D13*1.02^(ROW(INDIRECT("1:10"))-1))-(IF(D63&lt;&gt;"",D63,IF($D$37&lt;&gt;"",$D$37,(D52*(1+IF(D53="",0,D53))^ROUNDDOWN((ROW(INDIRECT("1:10"))-1)/IF(D54="",5,D54),0))/IF(D62="",IF($D$35="",0,$D$35),D62))))))*IF(D62="",IF($D$35="",0,$D$35),D62)))</f>
        <v>0</v>
      </c>
      <c r="E69" s="63" t="str">
        <f aca="true">IF(OR(E52="",AND(E62="",$D$35=""),D13=""),"",IF(IF(E62="",IF($D$35="",0,$D$35),E62)=0,0,SUMPRODUCT(((D13*1.02^(ROW(INDIRECT("1:10"))-1))-(IF(E63&lt;&gt;"",E63,IF($D$37&lt;&gt;"",$D$37,(E52*(1+IF(E53="",0,E53))^ROUNDDOWN((ROW(INDIRECT("1:10"))-1)/IF(E54="",5,E54),0))/IF(E62="",IF($D$35="",0,$D$35),E62))))&gt;0)*((D13*1.02^(ROW(INDIRECT("1:10"))-1))-(IF(E63&lt;&gt;"",E63,IF($D$37&lt;&gt;"",$D$37,(E52*(1+IF(E53="",0,E53))^ROUNDDOWN((ROW(INDIRECT("1:10"))-1)/IF(E54="",5,E54),0))/IF(E62="",IF($D$35="",0,$D$35),E62))))))*IF(E62="",IF($D$35="",0,$D$35),E62)))</f>
        <v/>
      </c>
      <c r="F69" s="63" t="str">
        <f aca="true">IF(OR(F52="",AND(F62="",$D$35=""),D13=""),"",IF(IF(F62="",IF($D$35="",0,$D$35),F62)=0,0,SUMPRODUCT(((D13*1.02^(ROW(INDIRECT("1:10"))-1))-(IF(F63&lt;&gt;"",F63,IF($D$37&lt;&gt;"",$D$37,(F52*(1+IF(F53="",0,F53))^ROUNDDOWN((ROW(INDIRECT("1:10"))-1)/IF(F54="",5,F54),0))/IF(F62="",IF($D$35="",0,$D$35),F62))))&gt;0)*((D13*1.02^(ROW(INDIRECT("1:10"))-1))-(IF(F63&lt;&gt;"",F63,IF($D$37&lt;&gt;"",$D$37,(F52*(1+IF(F53="",0,F53))^ROUNDDOWN((ROW(INDIRECT("1:10"))-1)/IF(F54="",5,F54),0))/IF(F62="",IF($D$35="",0,$D$35),F62))))))*IF(F62="",IF($D$35="",0,$D$35),F62)))</f>
        <v/>
      </c>
      <c r="G69" s="63" t="str">
        <f aca="true">IF(OR(G52="",AND(G62="",$D$35=""),D13=""),"",IF(IF(G62="",IF($D$35="",0,$D$35),G62)=0,0,SUMPRODUCT(((D13*1.02^(ROW(INDIRECT("1:10"))-1))-(IF(G63&lt;&gt;"",G63,IF($D$37&lt;&gt;"",$D$37,(G52*(1+IF(G53="",0,G53))^ROUNDDOWN((ROW(INDIRECT("1:10"))-1)/IF(G54="",5,G54),0))/IF(G62="",IF($D$35="",0,$D$35),G62))))&gt;0)*((D13*1.02^(ROW(INDIRECT("1:10"))-1))-(IF(G63&lt;&gt;"",G63,IF($D$37&lt;&gt;"",$D$37,(G52*(1+IF(G53="",0,G53))^ROUNDDOWN((ROW(INDIRECT("1:10"))-1)/IF(G54="",5,G54),0))/IF(G62="",IF($D$35="",0,$D$35),G62))))))*IF(G62="",IF($D$35="",0,$D$35),G62)))</f>
        <v/>
      </c>
      <c r="H69" s="63" t="str">
        <f aca="true">IF(OR(H52="",AND(H62="",$D$35=""),D13=""),"",IF(IF(H62="",IF($D$35="",0,$D$35),H62)=0,0,SUMPRODUCT(((D13*1.02^(ROW(INDIRECT("1:10"))-1))-(IF(H63&lt;&gt;"",H63,IF($D$37&lt;&gt;"",$D$37,(H52*(1+IF(H53="",0,H53))^ROUNDDOWN((ROW(INDIRECT("1:10"))-1)/IF(H54="",5,H54),0))/IF(H62="",IF($D$35="",0,$D$35),H62))))&gt;0)*((D13*1.02^(ROW(INDIRECT("1:10"))-1))-(IF(H63&lt;&gt;"",H63,IF($D$37&lt;&gt;"",$D$37,(H52*(1+IF(H53="",0,H53))^ROUNDDOWN((ROW(INDIRECT("1:10"))-1)/IF(H54="",5,H54),0))/IF(H62="",IF($D$35="",0,$D$35),H62))))))*IF(H62="",IF($D$35="",0,$D$35),H62)))</f>
        <v/>
      </c>
    </row>
    <row r="70" customFormat="false" ht="15" hidden="false" customHeight="true" outlineLevel="0" collapsed="false">
      <c r="A70" s="22" t="s">
        <v>372</v>
      </c>
      <c r="B70" s="22"/>
      <c r="C70" s="22"/>
      <c r="D70" s="63" t="n">
        <f aca="false">IF(OR(D60="",D69=""),"",D60+D69)</f>
        <v>1355712.9</v>
      </c>
      <c r="E70" s="63" t="str">
        <f aca="false">IF(OR(E60="",E69=""),"",E60+E69)</f>
        <v/>
      </c>
      <c r="F70" s="63" t="str">
        <f aca="false">IF(OR(F60="",F69=""),"",F60+F69)</f>
        <v/>
      </c>
      <c r="G70" s="63" t="str">
        <f aca="false">IF(OR(G60="",G69=""),"",G60+G69)</f>
        <v/>
      </c>
      <c r="H70" s="63" t="str">
        <f aca="false">IF(OR(H60="",H69=""),"",H60+H69)</f>
        <v/>
      </c>
    </row>
    <row r="71" customFormat="false" ht="23.85" hidden="false" customHeight="true" outlineLevel="0" collapsed="false">
      <c r="A71" s="22" t="s">
        <v>373</v>
      </c>
      <c r="B71" s="22"/>
      <c r="C71" s="22"/>
      <c r="D71" s="65" t="n">
        <f aca="true">IF(D52="","",SUMPRODUCT(D52*(1+IF(D53="",0,D53))^ROUNDDOWN((ROW(INDIRECT("1:"&amp;IF(D55="",10,D55)))-1)/IF(D54="",5,D54),0))+IF(OR(D13="",IF(D62="",IF($D$35="",0,$D$35),D62)=0),0,SUMPRODUCT(((D13*1.02^(ROW(INDIRECT("1:"&amp;IF(D55="",10,D55)))-1))-(IF(D63&lt;&gt;"",D63,IF($D$37&lt;&gt;"",$D$37,(D52*(1+IF(D53="",0,D53))^ROUNDDOWN((ROW(INDIRECT("1:"&amp;IF(D55="",10,D55)))-1)/IF(D54="",5,D54),0))/IF(D62="",IF($D$35="",0,$D$35),D62))))&gt;0)*((D13*1.02^(ROW(INDIRECT("1:"&amp;IF(D55="",10,D55)))-1))-(IF(D63&lt;&gt;"",D63,IF($D$37&lt;&gt;"",$D$37,(D52*(1+IF(D53="",0,D53))^ROUNDDOWN((ROW(INDIRECT("1:"&amp;IF(D55="",10,D55)))-1)/IF(D54="",5,D54),0))/IF(D62="",IF($D$35="",0,$D$35),D62))))))*IF(D62="",IF($D$35="",0,$D$35),D62)))</f>
        <v>2766196.60116</v>
      </c>
      <c r="E71" s="65" t="str">
        <f aca="true">IF(E52="","",SUMPRODUCT(E52*(1+IF(E53="",0,E53))^ROUNDDOWN((ROW(INDIRECT("1:"&amp;IF(E55="",10,E55)))-1)/IF(E54="",5,E54),0))+IF(OR(D13="",IF(E62="",IF($D$35="",0,$D$35),E62)=0),0,SUMPRODUCT(((D13*1.02^(ROW(INDIRECT("1:"&amp;IF(E55="",10,E55)))-1))-(IF(E63&lt;&gt;"",E63,IF($D$37&lt;&gt;"",$D$37,(E52*(1+IF(E53="",0,E53))^ROUNDDOWN((ROW(INDIRECT("1:"&amp;IF(E55="",10,E55)))-1)/IF(E54="",5,E54),0))/IF(E62="",IF($D$35="",0,$D$35),E62))))&gt;0)*((D13*1.02^(ROW(INDIRECT("1:"&amp;IF(E55="",10,E55)))-1))-(IF(E63&lt;&gt;"",E63,IF($D$37&lt;&gt;"",$D$37,(E52*(1+IF(E53="",0,E53))^ROUNDDOWN((ROW(INDIRECT("1:"&amp;IF(E55="",10,E55)))-1)/IF(E54="",5,E54),0))/IF(E62="",IF($D$35="",0,$D$35),E62))))))*IF(E62="",IF($D$35="",0,$D$35),E62)))</f>
        <v/>
      </c>
      <c r="F71" s="65" t="str">
        <f aca="true">IF(F52="","",SUMPRODUCT(F52*(1+IF(F53="",0,F53))^ROUNDDOWN((ROW(INDIRECT("1:"&amp;IF(F55="",10,F55)))-1)/IF(F54="",5,F54),0))+IF(OR(D13="",IF(F62="",IF($D$35="",0,$D$35),F62)=0),0,SUMPRODUCT(((D13*1.02^(ROW(INDIRECT("1:"&amp;IF(F55="",10,F55)))-1))-(IF(F63&lt;&gt;"",F63,IF($D$37&lt;&gt;"",$D$37,(F52*(1+IF(F53="",0,F53))^ROUNDDOWN((ROW(INDIRECT("1:"&amp;IF(F55="",10,F55)))-1)/IF(F54="",5,F54),0))/IF(F62="",IF($D$35="",0,$D$35),F62))))&gt;0)*((D13*1.02^(ROW(INDIRECT("1:"&amp;IF(F55="",10,F55)))-1))-(IF(F63&lt;&gt;"",F63,IF($D$37&lt;&gt;"",$D$37,(F52*(1+IF(F53="",0,F53))^ROUNDDOWN((ROW(INDIRECT("1:"&amp;IF(F55="",10,F55)))-1)/IF(F54="",5,F54),0))/IF(F62="",IF($D$35="",0,$D$35),F62))))))*IF(F62="",IF($D$35="",0,$D$35),F62)))</f>
        <v/>
      </c>
      <c r="G71" s="65" t="str">
        <f aca="true">IF(G52="","",SUMPRODUCT(G52*(1+IF(G53="",0,G53))^ROUNDDOWN((ROW(INDIRECT("1:"&amp;IF(G55="",10,G55)))-1)/IF(G54="",5,G54),0))+IF(OR(D13="",IF(G62="",IF($D$35="",0,$D$35),G62)=0),0,SUMPRODUCT(((D13*1.02^(ROW(INDIRECT("1:"&amp;IF(G55="",10,G55)))-1))-(IF(G63&lt;&gt;"",G63,IF($D$37&lt;&gt;"",$D$37,(G52*(1+IF(G53="",0,G53))^ROUNDDOWN((ROW(INDIRECT("1:"&amp;IF(G55="",10,G55)))-1)/IF(G54="",5,G54),0))/IF(G62="",IF($D$35="",0,$D$35),G62))))&gt;0)*((D13*1.02^(ROW(INDIRECT("1:"&amp;IF(G55="",10,G55)))-1))-(IF(G63&lt;&gt;"",G63,IF($D$37&lt;&gt;"",$D$37,(G52*(1+IF(G53="",0,G53))^ROUNDDOWN((ROW(INDIRECT("1:"&amp;IF(G55="",10,G55)))-1)/IF(G54="",5,G54),0))/IF(G62="",IF($D$35="",0,$D$35),G62))))))*IF(G62="",IF($D$35="",0,$D$35),G62)))</f>
        <v/>
      </c>
      <c r="H71" s="65" t="str">
        <f aca="true">IF(H52="","",SUMPRODUCT(H52*(1+IF(H53="",0,H53))^ROUNDDOWN((ROW(INDIRECT("1:"&amp;IF(H55="",10,H55)))-1)/IF(H54="",5,H54),0))+IF(OR(D13="",IF(H62="",IF($D$35="",0,$D$35),H62)=0),0,SUMPRODUCT(((D13*1.02^(ROW(INDIRECT("1:"&amp;IF(H55="",10,H55)))-1))-(IF(H63&lt;&gt;"",H63,IF($D$37&lt;&gt;"",$D$37,(H52*(1+IF(H53="",0,H53))^ROUNDDOWN((ROW(INDIRECT("1:"&amp;IF(H55="",10,H55)))-1)/IF(H54="",5,H54),0))/IF(H62="",IF($D$35="",0,$D$35),H62))))&gt;0)*((D13*1.02^(ROW(INDIRECT("1:"&amp;IF(H55="",10,H55)))-1))-(IF(H63&lt;&gt;"",H63,IF($D$37&lt;&gt;"",$D$37,(H52*(1+IF(H53="",0,H53))^ROUNDDOWN((ROW(INDIRECT("1:"&amp;IF(H55="",10,H55)))-1)/IF(H54="",5,H54),0))/IF(H62="",IF($D$35="",0,$D$35),H62))))))*IF(H62="",IF($D$35="",0,$D$35),H62)))</f>
        <v/>
      </c>
    </row>
    <row r="72" customFormat="false" ht="15" hidden="false" customHeight="true" outlineLevel="0" collapsed="false">
      <c r="A72" s="22" t="s">
        <v>374</v>
      </c>
      <c r="B72" s="22"/>
      <c r="C72" s="22"/>
      <c r="D72" s="62" t="n">
        <f aca="false">IF(D52="","",IF(D53="",0,(1+D53)^(5/IF(D54="",5,D54))-1))</f>
        <v>0.02</v>
      </c>
      <c r="E72" s="62" t="str">
        <f aca="false">IF(E52="","",IF(E53="",0,(1+E53)^(5/IF(E54="",5,E54))-1))</f>
        <v/>
      </c>
      <c r="F72" s="62" t="str">
        <f aca="false">IF(F52="","",IF(F53="",0,(1+F53)^(5/IF(F54="",5,F54))-1))</f>
        <v/>
      </c>
      <c r="G72" s="62" t="str">
        <f aca="false">IF(G52="","",IF(G53="",0,(1+G53)^(5/IF(G54="",5,G54))-1))</f>
        <v/>
      </c>
      <c r="H72" s="62" t="str">
        <f aca="false">IF(H52="","",IF(H53="",0,(1+H53)^(5/IF(H54="",5,H54))-1))</f>
        <v/>
      </c>
    </row>
    <row r="73" customFormat="false" ht="43.25" hidden="false" customHeight="true" outlineLevel="0" collapsed="false">
      <c r="A73" s="22" t="s">
        <v>375</v>
      </c>
      <c r="B73" s="22"/>
      <c r="C73" s="22"/>
      <c r="D73" s="66" t="str">
        <f aca="false">IF(D72="","",IF(D72&lt;=0,"REDUCTION / FLAT — ladder steps 1-2 (best)",IF(D72&lt;=0.08,"OK — within 8%/5-yr in-house authority (ladder step 3)","ABOVE 8%/5-yr — CEO SIGN-OFF REQUIRED (Rob 8/5/26)")))</f>
        <v>OK — within 8%/5-yr in-house authority (ladder step 3)</v>
      </c>
      <c r="E73" s="66" t="str">
        <f aca="false">IF(E72="","",IF(E72&lt;=0,"REDUCTION / FLAT — ladder steps 1-2 (best)",IF(E72&lt;=0.08,"OK — within 8%/5-yr in-house authority (ladder step 3)","ABOVE 8%/5-yr — CEO SIGN-OFF REQUIRED (Rob 8/5/26)")))</f>
        <v/>
      </c>
      <c r="F73" s="66" t="str">
        <f aca="false">IF(F72="","",IF(F72&lt;=0,"REDUCTION / FLAT — ladder steps 1-2 (best)",IF(F72&lt;=0.08,"OK — within 8%/5-yr in-house authority (ladder step 3)","ABOVE 8%/5-yr — CEO SIGN-OFF REQUIRED (Rob 8/5/26)")))</f>
        <v/>
      </c>
      <c r="G73" s="66" t="str">
        <f aca="false">IF(G72="","",IF(G72&lt;=0,"REDUCTION / FLAT — ladder steps 1-2 (best)",IF(G72&lt;=0.08,"OK — within 8%/5-yr in-house authority (ladder step 3)","ABOVE 8%/5-yr — CEO SIGN-OFF REQUIRED (Rob 8/5/26)")))</f>
        <v/>
      </c>
      <c r="H73" s="66" t="str">
        <f aca="false">IF(H72="","",IF(H72&lt;=0,"REDUCTION / FLAT — ladder steps 1-2 (best)",IF(H72&lt;=0.08,"OK — within 8%/5-yr in-house authority (ladder step 3)","ABOVE 8%/5-yr — CEO SIGN-OFF REQUIRED (Rob 8/5/26)")))</f>
        <v/>
      </c>
    </row>
    <row r="74" customFormat="false" ht="23.85" hidden="false" customHeight="true" outlineLevel="0" collapsed="false">
      <c r="A74" s="22" t="s">
        <v>376</v>
      </c>
      <c r="B74" s="22"/>
      <c r="C74" s="22"/>
      <c r="D74" s="62" t="n">
        <f aca="false">IF(OR(D52="",D13=""),"",((D52*(1+IF(D53="",0,D53))^ROUNDDOWN(9/IF(D54="",5,D54),0))+IF(IF(D62="",IF($D$35="",0,$D$35),D62)=0,0,MAX(0,D13*1.02^9-IF(D63&lt;&gt;"",D63,IF($D$37&lt;&gt;"",$D$37,(D52*(1+IF(D53="",0,D53))^ROUNDDOWN(9/IF(D54="",5,D54),0))/IF(D62="",IF($D$35="",0,$D$35),D62))))*IF(D62="",IF($D$35="",0,$D$35),D62)))/(D13*1.02^9))</f>
        <v>0.0484615731956335</v>
      </c>
      <c r="E74" s="62" t="str">
        <f aca="false">IF(OR(E52="",D13=""),"",((E52*(1+IF(E53="",0,E53))^ROUNDDOWN(9/IF(E54="",5,E54),0))+IF(IF(E62="",IF($D$35="",0,$D$35),E62)=0,0,MAX(0,D13*1.02^9-IF(E63&lt;&gt;"",E63,IF($D$37&lt;&gt;"",$D$37,(E52*(1+IF(E53="",0,E53))^ROUNDDOWN(9/IF(E54="",5,E54),0))/IF(E62="",IF($D$35="",0,$D$35),E62))))*IF(E62="",IF($D$35="",0,$D$35),E62)))/(D13*1.02^9))</f>
        <v/>
      </c>
      <c r="F74" s="62" t="str">
        <f aca="false">IF(OR(F52="",D13=""),"",((F52*(1+IF(F53="",0,F53))^ROUNDDOWN(9/IF(F54="",5,F54),0))+IF(IF(F62="",IF($D$35="",0,$D$35),F62)=0,0,MAX(0,D13*1.02^9-IF(F63&lt;&gt;"",F63,IF($D$37&lt;&gt;"",$D$37,(F52*(1+IF(F53="",0,F53))^ROUNDDOWN(9/IF(F54="",5,F54),0))/IF(F62="",IF($D$35="",0,$D$35),F62))))*IF(F62="",IF($D$35="",0,$D$35),F62)))/(D13*1.02^9))</f>
        <v/>
      </c>
      <c r="G74" s="62" t="str">
        <f aca="false">IF(OR(G52="",D13=""),"",((G52*(1+IF(G53="",0,G53))^ROUNDDOWN(9/IF(G54="",5,G54),0))+IF(IF(G62="",IF($D$35="",0,$D$35),G62)=0,0,MAX(0,D13*1.02^9-IF(G63&lt;&gt;"",G63,IF($D$37&lt;&gt;"",$D$37,(G52*(1+IF(G53="",0,G53))^ROUNDDOWN(9/IF(G54="",5,G54),0))/IF(G62="",IF($D$35="",0,$D$35),G62))))*IF(G62="",IF($D$35="",0,$D$35),G62)))/(D13*1.02^9))</f>
        <v/>
      </c>
      <c r="H74" s="62" t="str">
        <f aca="false">IF(OR(H52="",D13=""),"",((H52*(1+IF(H53="",0,H53))^ROUNDDOWN(9/IF(H54="",5,H54),0))+IF(IF(H62="",IF($D$35="",0,$D$35),H62)=0,0,MAX(0,D13*1.02^9-IF(H63&lt;&gt;"",H63,IF($D$37&lt;&gt;"",$D$37,(H52*(1+IF(H53="",0,H53))^ROUNDDOWN(9/IF(H54="",5,H54),0))/IF(H62="",IF($D$35="",0,$D$35),H62))))*IF(H62="",IF($D$35="",0,$D$35),H62)))/(D13*1.02^9))</f>
        <v/>
      </c>
    </row>
    <row r="75" customFormat="false" ht="23.85" hidden="false" customHeight="true" outlineLevel="0" collapsed="false">
      <c r="A75" s="22" t="s">
        <v>377</v>
      </c>
      <c r="B75" s="22"/>
      <c r="C75" s="22"/>
      <c r="D75" s="66" t="str">
        <f aca="false">IF(OR(D74="",D67=""),"",IF(MAX(D67,D74)&gt;=0.08,"HARD STOP — occupancy at/above 8% of sales: STOP, CEO sign-off before responding",IF(MAX(D67,D74)&gt;0.07,"Above Kim 7% alert — approaching 8% hard stop","OK — under 7% alert")))</f>
        <v>OK — under 7% alert</v>
      </c>
      <c r="E75" s="66" t="str">
        <f aca="false">IF(OR(E74="",E67=""),"",IF(MAX(E67,E74)&gt;=0.08,"HARD STOP — occupancy at/above 8% of sales: STOP, CEO sign-off before responding",IF(MAX(E67,E74)&gt;0.07,"Above Kim 7% alert — approaching 8% hard stop","OK — under 7% alert")))</f>
        <v/>
      </c>
      <c r="F75" s="66" t="str">
        <f aca="false">IF(OR(F74="",F67=""),"",IF(MAX(F67,F74)&gt;=0.08,"HARD STOP — occupancy at/above 8% of sales: STOP, CEO sign-off before responding",IF(MAX(F67,F74)&gt;0.07,"Above Kim 7% alert — approaching 8% hard stop","OK — under 7% alert")))</f>
        <v/>
      </c>
      <c r="G75" s="66" t="str">
        <f aca="false">IF(OR(G74="",G67=""),"",IF(MAX(G67,G74)&gt;=0.08,"HARD STOP — occupancy at/above 8% of sales: STOP, CEO sign-off before responding",IF(MAX(G67,G74)&gt;0.07,"Above Kim 7% alert — approaching 8% hard stop","OK — under 7% alert")))</f>
        <v/>
      </c>
      <c r="H75" s="66" t="str">
        <f aca="false">IF(OR(H74="",H67=""),"",IF(MAX(H67,H74)&gt;=0.08,"HARD STOP — occupancy at/above 8% of sales: STOP, CEO sign-off before responding",IF(MAX(H67,H74)&gt;0.07,"Above Kim 7% alert — approaching 8% hard stop","OK — under 7% alert")))</f>
        <v/>
      </c>
    </row>
    <row r="77" customFormat="false" ht="22.35" hidden="false" customHeight="true" outlineLevel="0" collapsed="false">
      <c r="A77" s="68" t="s">
        <v>379</v>
      </c>
      <c r="B77" s="68"/>
      <c r="C77" s="68"/>
      <c r="D77" s="68"/>
      <c r="E77" s="68"/>
      <c r="F77" s="68"/>
      <c r="G77" s="68"/>
      <c r="H77" s="68"/>
      <c r="I77" s="68"/>
      <c r="J77" s="68"/>
    </row>
    <row r="79" customFormat="false" ht="15" hidden="false" customHeight="false" outlineLevel="0" collapsed="false">
      <c r="A79" s="69" t="s">
        <v>380</v>
      </c>
      <c r="B79" s="69"/>
      <c r="C79" s="69"/>
      <c r="D79" s="69"/>
      <c r="E79" s="69"/>
      <c r="F79" s="69"/>
      <c r="G79" s="69"/>
      <c r="H79" s="69"/>
      <c r="I79" s="69"/>
      <c r="J79" s="69"/>
    </row>
    <row r="82" customFormat="false" ht="15" hidden="false" customHeight="false" outlineLevel="0" collapsed="false">
      <c r="A82" s="25" t="s">
        <v>381</v>
      </c>
    </row>
    <row r="83" customFormat="false" ht="15" hidden="false" customHeight="false" outlineLevel="0" collapsed="false">
      <c r="A83" s="69" t="s">
        <v>382</v>
      </c>
      <c r="B83" s="69"/>
      <c r="C83" s="69"/>
      <c r="D83" s="69"/>
      <c r="E83" s="69"/>
      <c r="F83" s="69"/>
      <c r="G83" s="69"/>
      <c r="H83" s="69"/>
      <c r="I83" s="69"/>
      <c r="J83" s="69"/>
      <c r="K83" s="69"/>
      <c r="L83" s="69"/>
      <c r="M83" s="69"/>
      <c r="N83" s="69"/>
      <c r="O83" s="69"/>
      <c r="P83" s="69"/>
      <c r="Q83" s="69"/>
      <c r="R83" s="69"/>
      <c r="S83" s="69"/>
      <c r="T83" s="69"/>
    </row>
    <row r="84" customFormat="false" ht="15" hidden="false" customHeight="true" outlineLevel="0" collapsed="false">
      <c r="A84" s="70" t="s">
        <v>383</v>
      </c>
      <c r="B84" s="70" t="s">
        <v>384</v>
      </c>
      <c r="C84" s="71" t="s">
        <v>385</v>
      </c>
      <c r="D84" s="71"/>
      <c r="E84" s="71"/>
      <c r="F84" s="71" t="s">
        <v>386</v>
      </c>
      <c r="G84" s="71"/>
      <c r="H84" s="71"/>
      <c r="I84" s="71" t="s">
        <v>387</v>
      </c>
      <c r="J84" s="71"/>
      <c r="K84" s="71"/>
      <c r="L84" s="71" t="s">
        <v>388</v>
      </c>
      <c r="M84" s="71"/>
      <c r="N84" s="71"/>
      <c r="O84" s="71" t="s">
        <v>389</v>
      </c>
      <c r="P84" s="71"/>
      <c r="Q84" s="71"/>
      <c r="R84" s="72" t="s">
        <v>390</v>
      </c>
      <c r="S84" s="72"/>
      <c r="T84" s="72"/>
    </row>
    <row r="85" customFormat="false" ht="15" hidden="false" customHeight="false" outlineLevel="0" collapsed="false">
      <c r="A85" s="73"/>
      <c r="B85" s="73"/>
      <c r="C85" s="73" t="s">
        <v>391</v>
      </c>
      <c r="D85" s="73" t="s">
        <v>392</v>
      </c>
      <c r="E85" s="73" t="s">
        <v>393</v>
      </c>
      <c r="F85" s="73" t="s">
        <v>391</v>
      </c>
      <c r="G85" s="73" t="s">
        <v>392</v>
      </c>
      <c r="H85" s="73" t="s">
        <v>393</v>
      </c>
      <c r="I85" s="73" t="s">
        <v>391</v>
      </c>
      <c r="J85" s="73" t="s">
        <v>392</v>
      </c>
      <c r="K85" s="73" t="s">
        <v>393</v>
      </c>
      <c r="L85" s="73" t="s">
        <v>391</v>
      </c>
      <c r="M85" s="73" t="s">
        <v>392</v>
      </c>
      <c r="N85" s="73" t="s">
        <v>393</v>
      </c>
      <c r="O85" s="73" t="s">
        <v>391</v>
      </c>
      <c r="P85" s="73" t="s">
        <v>392</v>
      </c>
      <c r="Q85" s="73" t="s">
        <v>393</v>
      </c>
      <c r="R85" s="73" t="s">
        <v>391</v>
      </c>
      <c r="S85" s="73" t="s">
        <v>392</v>
      </c>
      <c r="T85" s="73" t="s">
        <v>393</v>
      </c>
    </row>
    <row r="86" customFormat="false" ht="15" hidden="false" customHeight="false" outlineLevel="0" collapsed="false">
      <c r="A86" s="74" t="n">
        <v>1</v>
      </c>
      <c r="B86" s="75" t="n">
        <v>2364000</v>
      </c>
      <c r="C86" s="76" t="n">
        <v>134229</v>
      </c>
      <c r="D86" s="76" t="n">
        <v>0</v>
      </c>
      <c r="E86" s="76" t="n">
        <v>134229</v>
      </c>
      <c r="F86" s="75" t="n">
        <f aca="false">IF(D52="","",IF(1&gt;IF(D55="",10,D55),"",D52*(1+IF(D53="",0,D53))^ROUNDDOWN((1-1)/IF(D54="",5,D54),0)))</f>
        <v>134229</v>
      </c>
      <c r="G86" s="75" t="n">
        <f aca="false">IF(F86="","",IF((IF(D62="",IF($D$35="",0,$D$35),D62))=0,0,MAX(0,2364000-(IF(D63&lt;&gt;"",D63,IF($D$37&lt;&gt;"",$D$37,IF((IF(D62="",IF($D$35="",0,$D$35),D62))=0,0,D52/(IF(D62="",IF($D$35="",0,$D$35),D62)))))))*(IF(D62="",IF($D$35="",0,$D$35),D62))))</f>
        <v>0</v>
      </c>
      <c r="H86" s="75" t="n">
        <f aca="false">IF(F86="","",F86+G86)</f>
        <v>134229</v>
      </c>
      <c r="I86" s="75" t="str">
        <f aca="false">IF(E52="","",IF(1&gt;IF(E55="",10,E55),"",E52*(1+IF(E53="",0,E53))^ROUNDDOWN((1-1)/IF(E54="",5,E54),0)))</f>
        <v/>
      </c>
      <c r="J86" s="75" t="str">
        <f aca="false">IF(I86="","",IF((IF(E62="",IF($D$35="",0,$D$35),E62))=0,0,MAX(0,2364000-(IF(E63&lt;&gt;"",E63,IF($D$37&lt;&gt;"",$D$37,IF((IF(E62="",IF($D$35="",0,$D$35),E62))=0,0,E52/(IF(E62="",IF($D$35="",0,$D$35),E62)))))))*(IF(E62="",IF($D$35="",0,$D$35),E62))))</f>
        <v/>
      </c>
      <c r="K86" s="75" t="str">
        <f aca="false">IF(I86="","",I86+J86)</f>
        <v/>
      </c>
      <c r="L86" s="75" t="str">
        <f aca="false">IF(F52="","",IF(1&gt;IF(F55="",10,F55),"",F52*(1+IF(F53="",0,F53))^ROUNDDOWN((1-1)/IF(F54="",5,F54),0)))</f>
        <v/>
      </c>
      <c r="M86" s="75" t="str">
        <f aca="false">IF(L86="","",IF((IF(F62="",IF($D$35="",0,$D$35),F62))=0,0,MAX(0,2364000-(IF(F63&lt;&gt;"",F63,IF($D$37&lt;&gt;"",$D$37,IF((IF(F62="",IF($D$35="",0,$D$35),F62))=0,0,F52/(IF(F62="",IF($D$35="",0,$D$35),F62)))))))*(IF(F62="",IF($D$35="",0,$D$35),F62))))</f>
        <v/>
      </c>
      <c r="N86" s="75" t="str">
        <f aca="false">IF(L86="","",L86+M86)</f>
        <v/>
      </c>
      <c r="O86" s="75" t="str">
        <f aca="false">IF(G52="","",IF(1&gt;IF(G55="",10,G55),"",G52*(1+IF(G53="",0,G53))^ROUNDDOWN((1-1)/IF(G54="",5,G54),0)))</f>
        <v/>
      </c>
      <c r="P86" s="75" t="str">
        <f aca="false">IF(O86="","",IF((IF(G62="",IF($D$35="",0,$D$35),G62))=0,0,MAX(0,2364000-(IF(G63&lt;&gt;"",G63,IF($D$37&lt;&gt;"",$D$37,IF((IF(G62="",IF($D$35="",0,$D$35),G62))=0,0,G52/(IF(G62="",IF($D$35="",0,$D$35),G62)))))))*(IF(G62="",IF($D$35="",0,$D$35),G62))))</f>
        <v/>
      </c>
      <c r="Q86" s="75" t="str">
        <f aca="false">IF(O86="","",O86+P86)</f>
        <v/>
      </c>
      <c r="R86" s="75" t="str">
        <f aca="false">IF(H52="","",IF(1&gt;IF(H55="",10,H55),"",H52*(1+IF(H53="",0,H53))^ROUNDDOWN((1-1)/IF(H54="",5,H54),0)))</f>
        <v/>
      </c>
      <c r="S86" s="75" t="str">
        <f aca="false">IF(R86="","",IF((IF(H62="",IF($D$35="",0,$D$35),H62))=0,0,MAX(0,2364000-(IF(H63&lt;&gt;"",H63,IF($D$37&lt;&gt;"",$D$37,IF((IF(H62="",IF($D$35="",0,$D$35),H62))=0,0,H52/(IF(H62="",IF($D$35="",0,$D$35),H62)))))))*(IF(H62="",IF($D$35="",0,$D$35),H62))))</f>
        <v/>
      </c>
      <c r="T86" s="75" t="str">
        <f aca="false">IF(R86="","",R86+S86)</f>
        <v/>
      </c>
    </row>
    <row r="87" customFormat="false" ht="15" hidden="false" customHeight="false" outlineLevel="0" collapsed="false">
      <c r="A87" s="74" t="n">
        <v>2</v>
      </c>
      <c r="B87" s="75" t="n">
        <v>2411280</v>
      </c>
      <c r="C87" s="76" t="n">
        <v>134229</v>
      </c>
      <c r="D87" s="76" t="n">
        <v>0</v>
      </c>
      <c r="E87" s="76" t="n">
        <v>134229</v>
      </c>
      <c r="F87" s="75" t="n">
        <f aca="false">IF(D52="","",IF(2&gt;IF(D55="",10,D55),"",D52*(1+IF(D53="",0,D53))^ROUNDDOWN((2-1)/IF(D54="",5,D54),0)))</f>
        <v>134229</v>
      </c>
      <c r="G87" s="75" t="n">
        <f aca="false">IF(F87="","",IF((IF(D62="",IF($D$35="",0,$D$35),D62))=0,0,MAX(0,2411280-(IF(D63&lt;&gt;"",D63,IF($D$37&lt;&gt;"",$D$37,IF((IF(D62="",IF($D$35="",0,$D$35),D62))=0,0,D52/(IF(D62="",IF($D$35="",0,$D$35),D62)))))))*(IF(D62="",IF($D$35="",0,$D$35),D62))))</f>
        <v>0</v>
      </c>
      <c r="H87" s="75" t="n">
        <f aca="false">IF(F87="","",F87+G87)</f>
        <v>134229</v>
      </c>
      <c r="I87" s="75" t="str">
        <f aca="false">IF(E52="","",IF(2&gt;IF(E55="",10,E55),"",E52*(1+IF(E53="",0,E53))^ROUNDDOWN((2-1)/IF(E54="",5,E54),0)))</f>
        <v/>
      </c>
      <c r="J87" s="75" t="str">
        <f aca="false">IF(I87="","",IF((IF(E62="",IF($D$35="",0,$D$35),E62))=0,0,MAX(0,2411280-(IF(E63&lt;&gt;"",E63,IF($D$37&lt;&gt;"",$D$37,IF((IF(E62="",IF($D$35="",0,$D$35),E62))=0,0,E52/(IF(E62="",IF($D$35="",0,$D$35),E62)))))))*(IF(E62="",IF($D$35="",0,$D$35),E62))))</f>
        <v/>
      </c>
      <c r="K87" s="75" t="str">
        <f aca="false">IF(I87="","",I87+J87)</f>
        <v/>
      </c>
      <c r="L87" s="75" t="str">
        <f aca="false">IF(F52="","",IF(2&gt;IF(F55="",10,F55),"",F52*(1+IF(F53="",0,F53))^ROUNDDOWN((2-1)/IF(F54="",5,F54),0)))</f>
        <v/>
      </c>
      <c r="M87" s="75" t="str">
        <f aca="false">IF(L87="","",IF((IF(F62="",IF($D$35="",0,$D$35),F62))=0,0,MAX(0,2411280-(IF(F63&lt;&gt;"",F63,IF($D$37&lt;&gt;"",$D$37,IF((IF(F62="",IF($D$35="",0,$D$35),F62))=0,0,F52/(IF(F62="",IF($D$35="",0,$D$35),F62)))))))*(IF(F62="",IF($D$35="",0,$D$35),F62))))</f>
        <v/>
      </c>
      <c r="N87" s="75" t="str">
        <f aca="false">IF(L87="","",L87+M87)</f>
        <v/>
      </c>
      <c r="O87" s="75" t="str">
        <f aca="false">IF(G52="","",IF(2&gt;IF(G55="",10,G55),"",G52*(1+IF(G53="",0,G53))^ROUNDDOWN((2-1)/IF(G54="",5,G54),0)))</f>
        <v/>
      </c>
      <c r="P87" s="75" t="str">
        <f aca="false">IF(O87="","",IF((IF(G62="",IF($D$35="",0,$D$35),G62))=0,0,MAX(0,2411280-(IF(G63&lt;&gt;"",G63,IF($D$37&lt;&gt;"",$D$37,IF((IF(G62="",IF($D$35="",0,$D$35),G62))=0,0,G52/(IF(G62="",IF($D$35="",0,$D$35),G62)))))))*(IF(G62="",IF($D$35="",0,$D$35),G62))))</f>
        <v/>
      </c>
      <c r="Q87" s="75" t="str">
        <f aca="false">IF(O87="","",O87+P87)</f>
        <v/>
      </c>
      <c r="R87" s="75" t="str">
        <f aca="false">IF(H52="","",IF(2&gt;IF(H55="",10,H55),"",H52*(1+IF(H53="",0,H53))^ROUNDDOWN((2-1)/IF(H54="",5,H54),0)))</f>
        <v/>
      </c>
      <c r="S87" s="75" t="str">
        <f aca="false">IF(R87="","",IF((IF(H62="",IF($D$35="",0,$D$35),H62))=0,0,MAX(0,2411280-(IF(H63&lt;&gt;"",H63,IF($D$37&lt;&gt;"",$D$37,IF((IF(H62="",IF($D$35="",0,$D$35),H62))=0,0,H52/(IF(H62="",IF($D$35="",0,$D$35),H62)))))))*(IF(H62="",IF($D$35="",0,$D$35),H62))))</f>
        <v/>
      </c>
      <c r="T87" s="75" t="str">
        <f aca="false">IF(R87="","",R87+S87)</f>
        <v/>
      </c>
    </row>
    <row r="88" customFormat="false" ht="15" hidden="false" customHeight="false" outlineLevel="0" collapsed="false">
      <c r="A88" s="74" t="n">
        <v>3</v>
      </c>
      <c r="B88" s="75" t="n">
        <v>2459506</v>
      </c>
      <c r="C88" s="76" t="n">
        <v>134229</v>
      </c>
      <c r="D88" s="76" t="n">
        <v>0</v>
      </c>
      <c r="E88" s="76" t="n">
        <v>134229</v>
      </c>
      <c r="F88" s="75" t="n">
        <f aca="false">IF(D52="","",IF(3&gt;IF(D55="",10,D55),"",D52*(1+IF(D53="",0,D53))^ROUNDDOWN((3-1)/IF(D54="",5,D54),0)))</f>
        <v>134229</v>
      </c>
      <c r="G88" s="75" t="n">
        <f aca="false">IF(F88="","",IF((IF(D62="",IF($D$35="",0,$D$35),D62))=0,0,MAX(0,2459505.6-(IF(D63&lt;&gt;"",D63,IF($D$37&lt;&gt;"",$D$37,IF((IF(D62="",IF($D$35="",0,$D$35),D62))=0,0,D52/(IF(D62="",IF($D$35="",0,$D$35),D62)))))))*(IF(D62="",IF($D$35="",0,$D$35),D62))))</f>
        <v>0</v>
      </c>
      <c r="H88" s="75" t="n">
        <f aca="false">IF(F88="","",F88+G88)</f>
        <v>134229</v>
      </c>
      <c r="I88" s="75" t="str">
        <f aca="false">IF(E52="","",IF(3&gt;IF(E55="",10,E55),"",E52*(1+IF(E53="",0,E53))^ROUNDDOWN((3-1)/IF(E54="",5,E54),0)))</f>
        <v/>
      </c>
      <c r="J88" s="75" t="str">
        <f aca="false">IF(I88="","",IF((IF(E62="",IF($D$35="",0,$D$35),E62))=0,0,MAX(0,2459505.6-(IF(E63&lt;&gt;"",E63,IF($D$37&lt;&gt;"",$D$37,IF((IF(E62="",IF($D$35="",0,$D$35),E62))=0,0,E52/(IF(E62="",IF($D$35="",0,$D$35),E62)))))))*(IF(E62="",IF($D$35="",0,$D$35),E62))))</f>
        <v/>
      </c>
      <c r="K88" s="75" t="str">
        <f aca="false">IF(I88="","",I88+J88)</f>
        <v/>
      </c>
      <c r="L88" s="75" t="str">
        <f aca="false">IF(F52="","",IF(3&gt;IF(F55="",10,F55),"",F52*(1+IF(F53="",0,F53))^ROUNDDOWN((3-1)/IF(F54="",5,F54),0)))</f>
        <v/>
      </c>
      <c r="M88" s="75" t="str">
        <f aca="false">IF(L88="","",IF((IF(F62="",IF($D$35="",0,$D$35),F62))=0,0,MAX(0,2459505.6-(IF(F63&lt;&gt;"",F63,IF($D$37&lt;&gt;"",$D$37,IF((IF(F62="",IF($D$35="",0,$D$35),F62))=0,0,F52/(IF(F62="",IF($D$35="",0,$D$35),F62)))))))*(IF(F62="",IF($D$35="",0,$D$35),F62))))</f>
        <v/>
      </c>
      <c r="N88" s="75" t="str">
        <f aca="false">IF(L88="","",L88+M88)</f>
        <v/>
      </c>
      <c r="O88" s="75" t="str">
        <f aca="false">IF(G52="","",IF(3&gt;IF(G55="",10,G55),"",G52*(1+IF(G53="",0,G53))^ROUNDDOWN((3-1)/IF(G54="",5,G54),0)))</f>
        <v/>
      </c>
      <c r="P88" s="75" t="str">
        <f aca="false">IF(O88="","",IF((IF(G62="",IF($D$35="",0,$D$35),G62))=0,0,MAX(0,2459505.6-(IF(G63&lt;&gt;"",G63,IF($D$37&lt;&gt;"",$D$37,IF((IF(G62="",IF($D$35="",0,$D$35),G62))=0,0,G52/(IF(G62="",IF($D$35="",0,$D$35),G62)))))))*(IF(G62="",IF($D$35="",0,$D$35),G62))))</f>
        <v/>
      </c>
      <c r="Q88" s="75" t="str">
        <f aca="false">IF(O88="","",O88+P88)</f>
        <v/>
      </c>
      <c r="R88" s="75" t="str">
        <f aca="false">IF(H52="","",IF(3&gt;IF(H55="",10,H55),"",H52*(1+IF(H53="",0,H53))^ROUNDDOWN((3-1)/IF(H54="",5,H54),0)))</f>
        <v/>
      </c>
      <c r="S88" s="75" t="str">
        <f aca="false">IF(R88="","",IF((IF(H62="",IF($D$35="",0,$D$35),H62))=0,0,MAX(0,2459505.6-(IF(H63&lt;&gt;"",H63,IF($D$37&lt;&gt;"",$D$37,IF((IF(H62="",IF($D$35="",0,$D$35),H62))=0,0,H52/(IF(H62="",IF($D$35="",0,$D$35),H62)))))))*(IF(H62="",IF($D$35="",0,$D$35),H62))))</f>
        <v/>
      </c>
      <c r="T88" s="75" t="str">
        <f aca="false">IF(R88="","",R88+S88)</f>
        <v/>
      </c>
    </row>
    <row r="89" customFormat="false" ht="15" hidden="false" customHeight="false" outlineLevel="0" collapsed="false">
      <c r="A89" s="74" t="n">
        <v>4</v>
      </c>
      <c r="B89" s="75" t="n">
        <v>2508696</v>
      </c>
      <c r="C89" s="76" t="n">
        <v>134229</v>
      </c>
      <c r="D89" s="76" t="n">
        <v>0</v>
      </c>
      <c r="E89" s="76" t="n">
        <v>134229</v>
      </c>
      <c r="F89" s="75" t="n">
        <f aca="false">IF(D52="","",IF(4&gt;IF(D55="",10,D55),"",D52*(1+IF(D53="",0,D53))^ROUNDDOWN((4-1)/IF(D54="",5,D54),0)))</f>
        <v>134229</v>
      </c>
      <c r="G89" s="75" t="n">
        <f aca="false">IF(F89="","",IF((IF(D62="",IF($D$35="",0,$D$35),D62))=0,0,MAX(0,2508695.71-(IF(D63&lt;&gt;"",D63,IF($D$37&lt;&gt;"",$D$37,IF((IF(D62="",IF($D$35="",0,$D$35),D62))=0,0,D52/(IF(D62="",IF($D$35="",0,$D$35),D62)))))))*(IF(D62="",IF($D$35="",0,$D$35),D62))))</f>
        <v>0</v>
      </c>
      <c r="H89" s="75" t="n">
        <f aca="false">IF(F89="","",F89+G89)</f>
        <v>134229</v>
      </c>
      <c r="I89" s="75" t="str">
        <f aca="false">IF(E52="","",IF(4&gt;IF(E55="",10,E55),"",E52*(1+IF(E53="",0,E53))^ROUNDDOWN((4-1)/IF(E54="",5,E54),0)))</f>
        <v/>
      </c>
      <c r="J89" s="75" t="str">
        <f aca="false">IF(I89="","",IF((IF(E62="",IF($D$35="",0,$D$35),E62))=0,0,MAX(0,2508695.71-(IF(E63&lt;&gt;"",E63,IF($D$37&lt;&gt;"",$D$37,IF((IF(E62="",IF($D$35="",0,$D$35),E62))=0,0,E52/(IF(E62="",IF($D$35="",0,$D$35),E62)))))))*(IF(E62="",IF($D$35="",0,$D$35),E62))))</f>
        <v/>
      </c>
      <c r="K89" s="75" t="str">
        <f aca="false">IF(I89="","",I89+J89)</f>
        <v/>
      </c>
      <c r="L89" s="75" t="str">
        <f aca="false">IF(F52="","",IF(4&gt;IF(F55="",10,F55),"",F52*(1+IF(F53="",0,F53))^ROUNDDOWN((4-1)/IF(F54="",5,F54),0)))</f>
        <v/>
      </c>
      <c r="M89" s="75" t="str">
        <f aca="false">IF(L89="","",IF((IF(F62="",IF($D$35="",0,$D$35),F62))=0,0,MAX(0,2508695.71-(IF(F63&lt;&gt;"",F63,IF($D$37&lt;&gt;"",$D$37,IF((IF(F62="",IF($D$35="",0,$D$35),F62))=0,0,F52/(IF(F62="",IF($D$35="",0,$D$35),F62)))))))*(IF(F62="",IF($D$35="",0,$D$35),F62))))</f>
        <v/>
      </c>
      <c r="N89" s="75" t="str">
        <f aca="false">IF(L89="","",L89+M89)</f>
        <v/>
      </c>
      <c r="O89" s="75" t="str">
        <f aca="false">IF(G52="","",IF(4&gt;IF(G55="",10,G55),"",G52*(1+IF(G53="",0,G53))^ROUNDDOWN((4-1)/IF(G54="",5,G54),0)))</f>
        <v/>
      </c>
      <c r="P89" s="75" t="str">
        <f aca="false">IF(O89="","",IF((IF(G62="",IF($D$35="",0,$D$35),G62))=0,0,MAX(0,2508695.71-(IF(G63&lt;&gt;"",G63,IF($D$37&lt;&gt;"",$D$37,IF((IF(G62="",IF($D$35="",0,$D$35),G62))=0,0,G52/(IF(G62="",IF($D$35="",0,$D$35),G62)))))))*(IF(G62="",IF($D$35="",0,$D$35),G62))))</f>
        <v/>
      </c>
      <c r="Q89" s="75" t="str">
        <f aca="false">IF(O89="","",O89+P89)</f>
        <v/>
      </c>
      <c r="R89" s="75" t="str">
        <f aca="false">IF(H52="","",IF(4&gt;IF(H55="",10,H55),"",H52*(1+IF(H53="",0,H53))^ROUNDDOWN((4-1)/IF(H54="",5,H54),0)))</f>
        <v/>
      </c>
      <c r="S89" s="75" t="str">
        <f aca="false">IF(R89="","",IF((IF(H62="",IF($D$35="",0,$D$35),H62))=0,0,MAX(0,2508695.71-(IF(H63&lt;&gt;"",H63,IF($D$37&lt;&gt;"",$D$37,IF((IF(H62="",IF($D$35="",0,$D$35),H62))=0,0,H52/(IF(H62="",IF($D$35="",0,$D$35),H62)))))))*(IF(H62="",IF($D$35="",0,$D$35),H62))))</f>
        <v/>
      </c>
      <c r="T89" s="75" t="str">
        <f aca="false">IF(R89="","",R89+S89)</f>
        <v/>
      </c>
    </row>
    <row r="90" customFormat="false" ht="15" hidden="false" customHeight="false" outlineLevel="0" collapsed="false">
      <c r="A90" s="74" t="n">
        <v>5</v>
      </c>
      <c r="B90" s="75" t="n">
        <v>2558870</v>
      </c>
      <c r="C90" s="76" t="n">
        <v>134229</v>
      </c>
      <c r="D90" s="76" t="n">
        <v>0</v>
      </c>
      <c r="E90" s="76" t="n">
        <v>134229</v>
      </c>
      <c r="F90" s="75" t="n">
        <f aca="false">IF(D52="","",IF(5&gt;IF(D55="",10,D55),"",D52*(1+IF(D53="",0,D53))^ROUNDDOWN((5-1)/IF(D54="",5,D54),0)))</f>
        <v>134229</v>
      </c>
      <c r="G90" s="75" t="n">
        <f aca="false">IF(F90="","",IF((IF(D62="",IF($D$35="",0,$D$35),D62))=0,0,MAX(0,2558869.63-(IF(D63&lt;&gt;"",D63,IF($D$37&lt;&gt;"",$D$37,IF((IF(D62="",IF($D$35="",0,$D$35),D62))=0,0,D52/(IF(D62="",IF($D$35="",0,$D$35),D62)))))))*(IF(D62="",IF($D$35="",0,$D$35),D62))))</f>
        <v>0</v>
      </c>
      <c r="H90" s="75" t="n">
        <f aca="false">IF(F90="","",F90+G90)</f>
        <v>134229</v>
      </c>
      <c r="I90" s="75" t="str">
        <f aca="false">IF(E52="","",IF(5&gt;IF(E55="",10,E55),"",E52*(1+IF(E53="",0,E53))^ROUNDDOWN((5-1)/IF(E54="",5,E54),0)))</f>
        <v/>
      </c>
      <c r="J90" s="75" t="str">
        <f aca="false">IF(I90="","",IF((IF(E62="",IF($D$35="",0,$D$35),E62))=0,0,MAX(0,2558869.63-(IF(E63&lt;&gt;"",E63,IF($D$37&lt;&gt;"",$D$37,IF((IF(E62="",IF($D$35="",0,$D$35),E62))=0,0,E52/(IF(E62="",IF($D$35="",0,$D$35),E62)))))))*(IF(E62="",IF($D$35="",0,$D$35),E62))))</f>
        <v/>
      </c>
      <c r="K90" s="75" t="str">
        <f aca="false">IF(I90="","",I90+J90)</f>
        <v/>
      </c>
      <c r="L90" s="75" t="str">
        <f aca="false">IF(F52="","",IF(5&gt;IF(F55="",10,F55),"",F52*(1+IF(F53="",0,F53))^ROUNDDOWN((5-1)/IF(F54="",5,F54),0)))</f>
        <v/>
      </c>
      <c r="M90" s="75" t="str">
        <f aca="false">IF(L90="","",IF((IF(F62="",IF($D$35="",0,$D$35),F62))=0,0,MAX(0,2558869.63-(IF(F63&lt;&gt;"",F63,IF($D$37&lt;&gt;"",$D$37,IF((IF(F62="",IF($D$35="",0,$D$35),F62))=0,0,F52/(IF(F62="",IF($D$35="",0,$D$35),F62)))))))*(IF(F62="",IF($D$35="",0,$D$35),F62))))</f>
        <v/>
      </c>
      <c r="N90" s="75" t="str">
        <f aca="false">IF(L90="","",L90+M90)</f>
        <v/>
      </c>
      <c r="O90" s="75" t="str">
        <f aca="false">IF(G52="","",IF(5&gt;IF(G55="",10,G55),"",G52*(1+IF(G53="",0,G53))^ROUNDDOWN((5-1)/IF(G54="",5,G54),0)))</f>
        <v/>
      </c>
      <c r="P90" s="75" t="str">
        <f aca="false">IF(O90="","",IF((IF(G62="",IF($D$35="",0,$D$35),G62))=0,0,MAX(0,2558869.63-(IF(G63&lt;&gt;"",G63,IF($D$37&lt;&gt;"",$D$37,IF((IF(G62="",IF($D$35="",0,$D$35),G62))=0,0,G52/(IF(G62="",IF($D$35="",0,$D$35),G62)))))))*(IF(G62="",IF($D$35="",0,$D$35),G62))))</f>
        <v/>
      </c>
      <c r="Q90" s="75" t="str">
        <f aca="false">IF(O90="","",O90+P90)</f>
        <v/>
      </c>
      <c r="R90" s="75" t="str">
        <f aca="false">IF(H52="","",IF(5&gt;IF(H55="",10,H55),"",H52*(1+IF(H53="",0,H53))^ROUNDDOWN((5-1)/IF(H54="",5,H54),0)))</f>
        <v/>
      </c>
      <c r="S90" s="75" t="str">
        <f aca="false">IF(R90="","",IF((IF(H62="",IF($D$35="",0,$D$35),H62))=0,0,MAX(0,2558869.63-(IF(H63&lt;&gt;"",H63,IF($D$37&lt;&gt;"",$D$37,IF((IF(H62="",IF($D$35="",0,$D$35),H62))=0,0,H52/(IF(H62="",IF($D$35="",0,$D$35),H62)))))))*(IF(H62="",IF($D$35="",0,$D$35),H62))))</f>
        <v/>
      </c>
      <c r="T90" s="75" t="str">
        <f aca="false">IF(R90="","",R90+S90)</f>
        <v/>
      </c>
    </row>
    <row r="91" customFormat="false" ht="15" hidden="false" customHeight="false" outlineLevel="0" collapsed="false">
      <c r="A91" s="74" t="n">
        <v>6</v>
      </c>
      <c r="B91" s="75" t="n">
        <v>2610047</v>
      </c>
      <c r="C91" s="76" t="n">
        <v>147651</v>
      </c>
      <c r="D91" s="76" t="n">
        <v>0</v>
      </c>
      <c r="E91" s="76" t="n">
        <v>147651</v>
      </c>
      <c r="F91" s="75" t="n">
        <f aca="false">IF(D52="","",IF(6&gt;IF(D55="",10,D55),"",D52*(1+IF(D53="",0,D53))^ROUNDDOWN((6-1)/IF(D54="",5,D54),0)))</f>
        <v>136913.58</v>
      </c>
      <c r="G91" s="75" t="n">
        <f aca="false">IF(F91="","",IF((IF(D62="",IF($D$35="",0,$D$35),D62))=0,0,MAX(0,2610047.02-(IF(D63&lt;&gt;"",D63,IF($D$37&lt;&gt;"",$D$37,IF((IF(D62="",IF($D$35="",0,$D$35),D62))=0,0,D52/(IF(D62="",IF($D$35="",0,$D$35),D62)))))))*(IF(D62="",IF($D$35="",0,$D$35),D62))))</f>
        <v>0</v>
      </c>
      <c r="H91" s="75" t="n">
        <f aca="false">IF(F91="","",F91+G91)</f>
        <v>136913.58</v>
      </c>
      <c r="I91" s="75" t="str">
        <f aca="false">IF(E52="","",IF(6&gt;IF(E55="",10,E55),"",E52*(1+IF(E53="",0,E53))^ROUNDDOWN((6-1)/IF(E54="",5,E54),0)))</f>
        <v/>
      </c>
      <c r="J91" s="75" t="str">
        <f aca="false">IF(I91="","",IF((IF(E62="",IF($D$35="",0,$D$35),E62))=0,0,MAX(0,2610047.02-(IF(E63&lt;&gt;"",E63,IF($D$37&lt;&gt;"",$D$37,IF((IF(E62="",IF($D$35="",0,$D$35),E62))=0,0,E52/(IF(E62="",IF($D$35="",0,$D$35),E62)))))))*(IF(E62="",IF($D$35="",0,$D$35),E62))))</f>
        <v/>
      </c>
      <c r="K91" s="75" t="str">
        <f aca="false">IF(I91="","",I91+J91)</f>
        <v/>
      </c>
      <c r="L91" s="75" t="str">
        <f aca="false">IF(F52="","",IF(6&gt;IF(F55="",10,F55),"",F52*(1+IF(F53="",0,F53))^ROUNDDOWN((6-1)/IF(F54="",5,F54),0)))</f>
        <v/>
      </c>
      <c r="M91" s="75" t="str">
        <f aca="false">IF(L91="","",IF((IF(F62="",IF($D$35="",0,$D$35),F62))=0,0,MAX(0,2610047.02-(IF(F63&lt;&gt;"",F63,IF($D$37&lt;&gt;"",$D$37,IF((IF(F62="",IF($D$35="",0,$D$35),F62))=0,0,F52/(IF(F62="",IF($D$35="",0,$D$35),F62)))))))*(IF(F62="",IF($D$35="",0,$D$35),F62))))</f>
        <v/>
      </c>
      <c r="N91" s="75" t="str">
        <f aca="false">IF(L91="","",L91+M91)</f>
        <v/>
      </c>
      <c r="O91" s="75" t="str">
        <f aca="false">IF(G52="","",IF(6&gt;IF(G55="",10,G55),"",G52*(1+IF(G53="",0,G53))^ROUNDDOWN((6-1)/IF(G54="",5,G54),0)))</f>
        <v/>
      </c>
      <c r="P91" s="75" t="str">
        <f aca="false">IF(O91="","",IF((IF(G62="",IF($D$35="",0,$D$35),G62))=0,0,MAX(0,2610047.02-(IF(G63&lt;&gt;"",G63,IF($D$37&lt;&gt;"",$D$37,IF((IF(G62="",IF($D$35="",0,$D$35),G62))=0,0,G52/(IF(G62="",IF($D$35="",0,$D$35),G62)))))))*(IF(G62="",IF($D$35="",0,$D$35),G62))))</f>
        <v/>
      </c>
      <c r="Q91" s="75" t="str">
        <f aca="false">IF(O91="","",O91+P91)</f>
        <v/>
      </c>
      <c r="R91" s="75" t="str">
        <f aca="false">IF(H52="","",IF(6&gt;IF(H55="",10,H55),"",H52*(1+IF(H53="",0,H53))^ROUNDDOWN((6-1)/IF(H54="",5,H54),0)))</f>
        <v/>
      </c>
      <c r="S91" s="75" t="str">
        <f aca="false">IF(R91="","",IF((IF(H62="",IF($D$35="",0,$D$35),H62))=0,0,MAX(0,2610047.02-(IF(H63&lt;&gt;"",H63,IF($D$37&lt;&gt;"",$D$37,IF((IF(H62="",IF($D$35="",0,$D$35),H62))=0,0,H52/(IF(H62="",IF($D$35="",0,$D$35),H62)))))))*(IF(H62="",IF($D$35="",0,$D$35),H62))))</f>
        <v/>
      </c>
      <c r="T91" s="75" t="str">
        <f aca="false">IF(R91="","",R91+S91)</f>
        <v/>
      </c>
    </row>
    <row r="92" customFormat="false" ht="15" hidden="false" customHeight="false" outlineLevel="0" collapsed="false">
      <c r="A92" s="74" t="n">
        <v>7</v>
      </c>
      <c r="B92" s="75" t="n">
        <v>2662248</v>
      </c>
      <c r="C92" s="76" t="n">
        <v>147651</v>
      </c>
      <c r="D92" s="76" t="n">
        <v>0</v>
      </c>
      <c r="E92" s="76" t="n">
        <v>147651</v>
      </c>
      <c r="F92" s="75" t="n">
        <f aca="false">IF(D52="","",IF(7&gt;IF(D55="",10,D55),"",D52*(1+IF(D53="",0,D53))^ROUNDDOWN((7-1)/IF(D54="",5,D54),0)))</f>
        <v>136913.58</v>
      </c>
      <c r="G92" s="75" t="n">
        <f aca="false">IF(F92="","",IF((IF(D62="",IF($D$35="",0,$D$35),D62))=0,0,MAX(0,2662247.96-(IF(D63&lt;&gt;"",D63,IF($D$37&lt;&gt;"",$D$37,IF((IF(D62="",IF($D$35="",0,$D$35),D62))=0,0,D52/(IF(D62="",IF($D$35="",0,$D$35),D62)))))))*(IF(D62="",IF($D$35="",0,$D$35),D62))))</f>
        <v>0</v>
      </c>
      <c r="H92" s="75" t="n">
        <f aca="false">IF(F92="","",F92+G92)</f>
        <v>136913.58</v>
      </c>
      <c r="I92" s="75" t="str">
        <f aca="false">IF(E52="","",IF(7&gt;IF(E55="",10,E55),"",E52*(1+IF(E53="",0,E53))^ROUNDDOWN((7-1)/IF(E54="",5,E54),0)))</f>
        <v/>
      </c>
      <c r="J92" s="75" t="str">
        <f aca="false">IF(I92="","",IF((IF(E62="",IF($D$35="",0,$D$35),E62))=0,0,MAX(0,2662247.96-(IF(E63&lt;&gt;"",E63,IF($D$37&lt;&gt;"",$D$37,IF((IF(E62="",IF($D$35="",0,$D$35),E62))=0,0,E52/(IF(E62="",IF($D$35="",0,$D$35),E62)))))))*(IF(E62="",IF($D$35="",0,$D$35),E62))))</f>
        <v/>
      </c>
      <c r="K92" s="75" t="str">
        <f aca="false">IF(I92="","",I92+J92)</f>
        <v/>
      </c>
      <c r="L92" s="75" t="str">
        <f aca="false">IF(F52="","",IF(7&gt;IF(F55="",10,F55),"",F52*(1+IF(F53="",0,F53))^ROUNDDOWN((7-1)/IF(F54="",5,F54),0)))</f>
        <v/>
      </c>
      <c r="M92" s="75" t="str">
        <f aca="false">IF(L92="","",IF((IF(F62="",IF($D$35="",0,$D$35),F62))=0,0,MAX(0,2662247.96-(IF(F63&lt;&gt;"",F63,IF($D$37&lt;&gt;"",$D$37,IF((IF(F62="",IF($D$35="",0,$D$35),F62))=0,0,F52/(IF(F62="",IF($D$35="",0,$D$35),F62)))))))*(IF(F62="",IF($D$35="",0,$D$35),F62))))</f>
        <v/>
      </c>
      <c r="N92" s="75" t="str">
        <f aca="false">IF(L92="","",L92+M92)</f>
        <v/>
      </c>
      <c r="O92" s="75" t="str">
        <f aca="false">IF(G52="","",IF(7&gt;IF(G55="",10,G55),"",G52*(1+IF(G53="",0,G53))^ROUNDDOWN((7-1)/IF(G54="",5,G54),0)))</f>
        <v/>
      </c>
      <c r="P92" s="75" t="str">
        <f aca="false">IF(O92="","",IF((IF(G62="",IF($D$35="",0,$D$35),G62))=0,0,MAX(0,2662247.96-(IF(G63&lt;&gt;"",G63,IF($D$37&lt;&gt;"",$D$37,IF((IF(G62="",IF($D$35="",0,$D$35),G62))=0,0,G52/(IF(G62="",IF($D$35="",0,$D$35),G62)))))))*(IF(G62="",IF($D$35="",0,$D$35),G62))))</f>
        <v/>
      </c>
      <c r="Q92" s="75" t="str">
        <f aca="false">IF(O92="","",O92+P92)</f>
        <v/>
      </c>
      <c r="R92" s="75" t="str">
        <f aca="false">IF(H52="","",IF(7&gt;IF(H55="",10,H55),"",H52*(1+IF(H53="",0,H53))^ROUNDDOWN((7-1)/IF(H54="",5,H54),0)))</f>
        <v/>
      </c>
      <c r="S92" s="75" t="str">
        <f aca="false">IF(R92="","",IF((IF(H62="",IF($D$35="",0,$D$35),H62))=0,0,MAX(0,2662247.96-(IF(H63&lt;&gt;"",H63,IF($D$37&lt;&gt;"",$D$37,IF((IF(H62="",IF($D$35="",0,$D$35),H62))=0,0,H52/(IF(H62="",IF($D$35="",0,$D$35),H62)))))))*(IF(H62="",IF($D$35="",0,$D$35),H62))))</f>
        <v/>
      </c>
      <c r="T92" s="75" t="str">
        <f aca="false">IF(R92="","",R92+S92)</f>
        <v/>
      </c>
    </row>
    <row r="93" customFormat="false" ht="15" hidden="false" customHeight="false" outlineLevel="0" collapsed="false">
      <c r="A93" s="74" t="n">
        <v>8</v>
      </c>
      <c r="B93" s="75" t="n">
        <v>2715493</v>
      </c>
      <c r="C93" s="76" t="n">
        <v>147651</v>
      </c>
      <c r="D93" s="76" t="n">
        <v>0</v>
      </c>
      <c r="E93" s="76" t="n">
        <v>147651</v>
      </c>
      <c r="F93" s="75" t="n">
        <f aca="false">IF(D52="","",IF(8&gt;IF(D55="",10,D55),"",D52*(1+IF(D53="",0,D53))^ROUNDDOWN((8-1)/IF(D54="",5,D54),0)))</f>
        <v>136913.58</v>
      </c>
      <c r="G93" s="75" t="n">
        <f aca="false">IF(F93="","",IF((IF(D62="",IF($D$35="",0,$D$35),D62))=0,0,MAX(0,2715492.92-(IF(D63&lt;&gt;"",D63,IF($D$37&lt;&gt;"",$D$37,IF((IF(D62="",IF($D$35="",0,$D$35),D62))=0,0,D52/(IF(D62="",IF($D$35="",0,$D$35),D62)))))))*(IF(D62="",IF($D$35="",0,$D$35),D62))))</f>
        <v>0</v>
      </c>
      <c r="H93" s="75" t="n">
        <f aca="false">IF(F93="","",F93+G93)</f>
        <v>136913.58</v>
      </c>
      <c r="I93" s="75" t="str">
        <f aca="false">IF(E52="","",IF(8&gt;IF(E55="",10,E55),"",E52*(1+IF(E53="",0,E53))^ROUNDDOWN((8-1)/IF(E54="",5,E54),0)))</f>
        <v/>
      </c>
      <c r="J93" s="75" t="str">
        <f aca="false">IF(I93="","",IF((IF(E62="",IF($D$35="",0,$D$35),E62))=0,0,MAX(0,2715492.92-(IF(E63&lt;&gt;"",E63,IF($D$37&lt;&gt;"",$D$37,IF((IF(E62="",IF($D$35="",0,$D$35),E62))=0,0,E52/(IF(E62="",IF($D$35="",0,$D$35),E62)))))))*(IF(E62="",IF($D$35="",0,$D$35),E62))))</f>
        <v/>
      </c>
      <c r="K93" s="75" t="str">
        <f aca="false">IF(I93="","",I93+J93)</f>
        <v/>
      </c>
      <c r="L93" s="75" t="str">
        <f aca="false">IF(F52="","",IF(8&gt;IF(F55="",10,F55),"",F52*(1+IF(F53="",0,F53))^ROUNDDOWN((8-1)/IF(F54="",5,F54),0)))</f>
        <v/>
      </c>
      <c r="M93" s="75" t="str">
        <f aca="false">IF(L93="","",IF((IF(F62="",IF($D$35="",0,$D$35),F62))=0,0,MAX(0,2715492.92-(IF(F63&lt;&gt;"",F63,IF($D$37&lt;&gt;"",$D$37,IF((IF(F62="",IF($D$35="",0,$D$35),F62))=0,0,F52/(IF(F62="",IF($D$35="",0,$D$35),F62)))))))*(IF(F62="",IF($D$35="",0,$D$35),F62))))</f>
        <v/>
      </c>
      <c r="N93" s="75" t="str">
        <f aca="false">IF(L93="","",L93+M93)</f>
        <v/>
      </c>
      <c r="O93" s="75" t="str">
        <f aca="false">IF(G52="","",IF(8&gt;IF(G55="",10,G55),"",G52*(1+IF(G53="",0,G53))^ROUNDDOWN((8-1)/IF(G54="",5,G54),0)))</f>
        <v/>
      </c>
      <c r="P93" s="75" t="str">
        <f aca="false">IF(O93="","",IF((IF(G62="",IF($D$35="",0,$D$35),G62))=0,0,MAX(0,2715492.92-(IF(G63&lt;&gt;"",G63,IF($D$37&lt;&gt;"",$D$37,IF((IF(G62="",IF($D$35="",0,$D$35),G62))=0,0,G52/(IF(G62="",IF($D$35="",0,$D$35),G62)))))))*(IF(G62="",IF($D$35="",0,$D$35),G62))))</f>
        <v/>
      </c>
      <c r="Q93" s="75" t="str">
        <f aca="false">IF(O93="","",O93+P93)</f>
        <v/>
      </c>
      <c r="R93" s="75" t="str">
        <f aca="false">IF(H52="","",IF(8&gt;IF(H55="",10,H55),"",H52*(1+IF(H53="",0,H53))^ROUNDDOWN((8-1)/IF(H54="",5,H54),0)))</f>
        <v/>
      </c>
      <c r="S93" s="75" t="str">
        <f aca="false">IF(R93="","",IF((IF(H62="",IF($D$35="",0,$D$35),H62))=0,0,MAX(0,2715492.92-(IF(H63&lt;&gt;"",H63,IF($D$37&lt;&gt;"",$D$37,IF((IF(H62="",IF($D$35="",0,$D$35),H62))=0,0,H52/(IF(H62="",IF($D$35="",0,$D$35),H62)))))))*(IF(H62="",IF($D$35="",0,$D$35),H62))))</f>
        <v/>
      </c>
      <c r="T93" s="75" t="str">
        <f aca="false">IF(R93="","",R93+S93)</f>
        <v/>
      </c>
    </row>
    <row r="94" customFormat="false" ht="15" hidden="false" customHeight="false" outlineLevel="0" collapsed="false">
      <c r="A94" s="74" t="n">
        <v>9</v>
      </c>
      <c r="B94" s="75" t="n">
        <v>2769803</v>
      </c>
      <c r="C94" s="76" t="n">
        <v>147651</v>
      </c>
      <c r="D94" s="76" t="n">
        <v>0</v>
      </c>
      <c r="E94" s="76" t="n">
        <v>147651</v>
      </c>
      <c r="F94" s="75" t="n">
        <f aca="false">IF(D52="","",IF(9&gt;IF(D55="",10,D55),"",D52*(1+IF(D53="",0,D53))^ROUNDDOWN((9-1)/IF(D54="",5,D54),0)))</f>
        <v>136913.58</v>
      </c>
      <c r="G94" s="75" t="n">
        <f aca="false">IF(F94="","",IF((IF(D62="",IF($D$35="",0,$D$35),D62))=0,0,MAX(0,2769802.78-(IF(D63&lt;&gt;"",D63,IF($D$37&lt;&gt;"",$D$37,IF((IF(D62="",IF($D$35="",0,$D$35),D62))=0,0,D52/(IF(D62="",IF($D$35="",0,$D$35),D62)))))))*(IF(D62="",IF($D$35="",0,$D$35),D62))))</f>
        <v>0</v>
      </c>
      <c r="H94" s="75" t="n">
        <f aca="false">IF(F94="","",F94+G94)</f>
        <v>136913.58</v>
      </c>
      <c r="I94" s="75" t="str">
        <f aca="false">IF(E52="","",IF(9&gt;IF(E55="",10,E55),"",E52*(1+IF(E53="",0,E53))^ROUNDDOWN((9-1)/IF(E54="",5,E54),0)))</f>
        <v/>
      </c>
      <c r="J94" s="75" t="str">
        <f aca="false">IF(I94="","",IF((IF(E62="",IF($D$35="",0,$D$35),E62))=0,0,MAX(0,2769802.78-(IF(E63&lt;&gt;"",E63,IF($D$37&lt;&gt;"",$D$37,IF((IF(E62="",IF($D$35="",0,$D$35),E62))=0,0,E52/(IF(E62="",IF($D$35="",0,$D$35),E62)))))))*(IF(E62="",IF($D$35="",0,$D$35),E62))))</f>
        <v/>
      </c>
      <c r="K94" s="75" t="str">
        <f aca="false">IF(I94="","",I94+J94)</f>
        <v/>
      </c>
      <c r="L94" s="75" t="str">
        <f aca="false">IF(F52="","",IF(9&gt;IF(F55="",10,F55),"",F52*(1+IF(F53="",0,F53))^ROUNDDOWN((9-1)/IF(F54="",5,F54),0)))</f>
        <v/>
      </c>
      <c r="M94" s="75" t="str">
        <f aca="false">IF(L94="","",IF((IF(F62="",IF($D$35="",0,$D$35),F62))=0,0,MAX(0,2769802.78-(IF(F63&lt;&gt;"",F63,IF($D$37&lt;&gt;"",$D$37,IF((IF(F62="",IF($D$35="",0,$D$35),F62))=0,0,F52/(IF(F62="",IF($D$35="",0,$D$35),F62)))))))*(IF(F62="",IF($D$35="",0,$D$35),F62))))</f>
        <v/>
      </c>
      <c r="N94" s="75" t="str">
        <f aca="false">IF(L94="","",L94+M94)</f>
        <v/>
      </c>
      <c r="O94" s="75" t="str">
        <f aca="false">IF(G52="","",IF(9&gt;IF(G55="",10,G55),"",G52*(1+IF(G53="",0,G53))^ROUNDDOWN((9-1)/IF(G54="",5,G54),0)))</f>
        <v/>
      </c>
      <c r="P94" s="75" t="str">
        <f aca="false">IF(O94="","",IF((IF(G62="",IF($D$35="",0,$D$35),G62))=0,0,MAX(0,2769802.78-(IF(G63&lt;&gt;"",G63,IF($D$37&lt;&gt;"",$D$37,IF((IF(G62="",IF($D$35="",0,$D$35),G62))=0,0,G52/(IF(G62="",IF($D$35="",0,$D$35),G62)))))))*(IF(G62="",IF($D$35="",0,$D$35),G62))))</f>
        <v/>
      </c>
      <c r="Q94" s="75" t="str">
        <f aca="false">IF(O94="","",O94+P94)</f>
        <v/>
      </c>
      <c r="R94" s="75" t="str">
        <f aca="false">IF(H52="","",IF(9&gt;IF(H55="",10,H55),"",H52*(1+IF(H53="",0,H53))^ROUNDDOWN((9-1)/IF(H54="",5,H54),0)))</f>
        <v/>
      </c>
      <c r="S94" s="75" t="str">
        <f aca="false">IF(R94="","",IF((IF(H62="",IF($D$35="",0,$D$35),H62))=0,0,MAX(0,2769802.78-(IF(H63&lt;&gt;"",H63,IF($D$37&lt;&gt;"",$D$37,IF((IF(H62="",IF($D$35="",0,$D$35),H62))=0,0,H52/(IF(H62="",IF($D$35="",0,$D$35),H62)))))))*(IF(H62="",IF($D$35="",0,$D$35),H62))))</f>
        <v/>
      </c>
      <c r="T94" s="75" t="str">
        <f aca="false">IF(R94="","",R94+S94)</f>
        <v/>
      </c>
    </row>
    <row r="95" customFormat="false" ht="15" hidden="false" customHeight="false" outlineLevel="0" collapsed="false">
      <c r="A95" s="74" t="n">
        <v>10</v>
      </c>
      <c r="B95" s="75" t="n">
        <v>2825199</v>
      </c>
      <c r="C95" s="76" t="n">
        <v>147651</v>
      </c>
      <c r="D95" s="76" t="n">
        <v>0</v>
      </c>
      <c r="E95" s="76" t="n">
        <v>147651</v>
      </c>
      <c r="F95" s="75" t="n">
        <f aca="false">IF(D52="","",IF(10&gt;IF(D55="",10,D55),"",D52*(1+IF(D53="",0,D53))^ROUNDDOWN((10-1)/IF(D54="",5,D54),0)))</f>
        <v>136913.58</v>
      </c>
      <c r="G95" s="75" t="n">
        <f aca="false">IF(F95="","",IF((IF(D62="",IF($D$35="",0,$D$35),D62))=0,0,MAX(0,2825198.83-(IF(D63&lt;&gt;"",D63,IF($D$37&lt;&gt;"",$D$37,IF((IF(D62="",IF($D$35="",0,$D$35),D62))=0,0,D52/(IF(D62="",IF($D$35="",0,$D$35),D62)))))))*(IF(D62="",IF($D$35="",0,$D$35),D62))))</f>
        <v>0</v>
      </c>
      <c r="H95" s="75" t="n">
        <f aca="false">IF(F95="","",F95+G95)</f>
        <v>136913.58</v>
      </c>
      <c r="I95" s="75" t="str">
        <f aca="false">IF(E52="","",IF(10&gt;IF(E55="",10,E55),"",E52*(1+IF(E53="",0,E53))^ROUNDDOWN((10-1)/IF(E54="",5,E54),0)))</f>
        <v/>
      </c>
      <c r="J95" s="75" t="str">
        <f aca="false">IF(I95="","",IF((IF(E62="",IF($D$35="",0,$D$35),E62))=0,0,MAX(0,2825198.83-(IF(E63&lt;&gt;"",E63,IF($D$37&lt;&gt;"",$D$37,IF((IF(E62="",IF($D$35="",0,$D$35),E62))=0,0,E52/(IF(E62="",IF($D$35="",0,$D$35),E62)))))))*(IF(E62="",IF($D$35="",0,$D$35),E62))))</f>
        <v/>
      </c>
      <c r="K95" s="75" t="str">
        <f aca="false">IF(I95="","",I95+J95)</f>
        <v/>
      </c>
      <c r="L95" s="75" t="str">
        <f aca="false">IF(F52="","",IF(10&gt;IF(F55="",10,F55),"",F52*(1+IF(F53="",0,F53))^ROUNDDOWN((10-1)/IF(F54="",5,F54),0)))</f>
        <v/>
      </c>
      <c r="M95" s="75" t="str">
        <f aca="false">IF(L95="","",IF((IF(F62="",IF($D$35="",0,$D$35),F62))=0,0,MAX(0,2825198.83-(IF(F63&lt;&gt;"",F63,IF($D$37&lt;&gt;"",$D$37,IF((IF(F62="",IF($D$35="",0,$D$35),F62))=0,0,F52/(IF(F62="",IF($D$35="",0,$D$35),F62)))))))*(IF(F62="",IF($D$35="",0,$D$35),F62))))</f>
        <v/>
      </c>
      <c r="N95" s="75" t="str">
        <f aca="false">IF(L95="","",L95+M95)</f>
        <v/>
      </c>
      <c r="O95" s="75" t="str">
        <f aca="false">IF(G52="","",IF(10&gt;IF(G55="",10,G55),"",G52*(1+IF(G53="",0,G53))^ROUNDDOWN((10-1)/IF(G54="",5,G54),0)))</f>
        <v/>
      </c>
      <c r="P95" s="75" t="str">
        <f aca="false">IF(O95="","",IF((IF(G62="",IF($D$35="",0,$D$35),G62))=0,0,MAX(0,2825198.83-(IF(G63&lt;&gt;"",G63,IF($D$37&lt;&gt;"",$D$37,IF((IF(G62="",IF($D$35="",0,$D$35),G62))=0,0,G52/(IF(G62="",IF($D$35="",0,$D$35),G62)))))))*(IF(G62="",IF($D$35="",0,$D$35),G62))))</f>
        <v/>
      </c>
      <c r="Q95" s="75" t="str">
        <f aca="false">IF(O95="","",O95+P95)</f>
        <v/>
      </c>
      <c r="R95" s="75" t="str">
        <f aca="false">IF(H52="","",IF(10&gt;IF(H55="",10,H55),"",H52*(1+IF(H53="",0,H53))^ROUNDDOWN((10-1)/IF(H54="",5,H54),0)))</f>
        <v/>
      </c>
      <c r="S95" s="75" t="str">
        <f aca="false">IF(R95="","",IF((IF(H62="",IF($D$35="",0,$D$35),H62))=0,0,MAX(0,2825198.83-(IF(H63&lt;&gt;"",H63,IF($D$37&lt;&gt;"",$D$37,IF((IF(H62="",IF($D$35="",0,$D$35),H62))=0,0,H52/(IF(H62="",IF($D$35="",0,$D$35),H62)))))))*(IF(H62="",IF($D$35="",0,$D$35),H62))))</f>
        <v/>
      </c>
      <c r="T95" s="75" t="str">
        <f aca="false">IF(R95="","",R95+S95)</f>
        <v/>
      </c>
    </row>
    <row r="96" customFormat="false" ht="15" hidden="false" customHeight="false" outlineLevel="0" collapsed="false">
      <c r="A96" s="74" t="n">
        <v>11</v>
      </c>
      <c r="B96" s="75" t="n">
        <v>2881703</v>
      </c>
      <c r="C96" s="76" t="n">
        <v>162417</v>
      </c>
      <c r="D96" s="76" t="n">
        <v>0</v>
      </c>
      <c r="E96" s="76" t="n">
        <v>162417</v>
      </c>
      <c r="F96" s="75" t="n">
        <f aca="false">IF(D52="","",IF(11&gt;IF(D55="",10,D55),"",D52*(1+IF(D53="",0,D53))^ROUNDDOWN((11-1)/IF(D54="",5,D54),0)))</f>
        <v>139651.8516</v>
      </c>
      <c r="G96" s="75" t="n">
        <f aca="false">IF(F96="","",IF((IF(D62="",IF($D$35="",0,$D$35),D62))=0,0,MAX(0,2881702.81-(IF(D63&lt;&gt;"",D63,IF($D$37&lt;&gt;"",$D$37,IF((IF(D62="",IF($D$35="",0,$D$35),D62))=0,0,D52/(IF(D62="",IF($D$35="",0,$D$35),D62)))))))*(IF(D62="",IF($D$35="",0,$D$35),D62))))</f>
        <v>0</v>
      </c>
      <c r="H96" s="75" t="n">
        <f aca="false">IF(F96="","",F96+G96)</f>
        <v>139651.8516</v>
      </c>
      <c r="I96" s="75" t="str">
        <f aca="false">IF(E52="","",IF(11&gt;IF(E55="",10,E55),"",E52*(1+IF(E53="",0,E53))^ROUNDDOWN((11-1)/IF(E54="",5,E54),0)))</f>
        <v/>
      </c>
      <c r="J96" s="75" t="str">
        <f aca="false">IF(I96="","",IF((IF(E62="",IF($D$35="",0,$D$35),E62))=0,0,MAX(0,2881702.81-(IF(E63&lt;&gt;"",E63,IF($D$37&lt;&gt;"",$D$37,IF((IF(E62="",IF($D$35="",0,$D$35),E62))=0,0,E52/(IF(E62="",IF($D$35="",0,$D$35),E62)))))))*(IF(E62="",IF($D$35="",0,$D$35),E62))))</f>
        <v/>
      </c>
      <c r="K96" s="75" t="str">
        <f aca="false">IF(I96="","",I96+J96)</f>
        <v/>
      </c>
      <c r="L96" s="75" t="str">
        <f aca="false">IF(F52="","",IF(11&gt;IF(F55="",10,F55),"",F52*(1+IF(F53="",0,F53))^ROUNDDOWN((11-1)/IF(F54="",5,F54),0)))</f>
        <v/>
      </c>
      <c r="M96" s="75" t="str">
        <f aca="false">IF(L96="","",IF((IF(F62="",IF($D$35="",0,$D$35),F62))=0,0,MAX(0,2881702.81-(IF(F63&lt;&gt;"",F63,IF($D$37&lt;&gt;"",$D$37,IF((IF(F62="",IF($D$35="",0,$D$35),F62))=0,0,F52/(IF(F62="",IF($D$35="",0,$D$35),F62)))))))*(IF(F62="",IF($D$35="",0,$D$35),F62))))</f>
        <v/>
      </c>
      <c r="N96" s="75" t="str">
        <f aca="false">IF(L96="","",L96+M96)</f>
        <v/>
      </c>
      <c r="O96" s="75" t="str">
        <f aca="false">IF(G52="","",IF(11&gt;IF(G55="",10,G55),"",G52*(1+IF(G53="",0,G53))^ROUNDDOWN((11-1)/IF(G54="",5,G54),0)))</f>
        <v/>
      </c>
      <c r="P96" s="75" t="str">
        <f aca="false">IF(O96="","",IF((IF(G62="",IF($D$35="",0,$D$35),G62))=0,0,MAX(0,2881702.81-(IF(G63&lt;&gt;"",G63,IF($D$37&lt;&gt;"",$D$37,IF((IF(G62="",IF($D$35="",0,$D$35),G62))=0,0,G52/(IF(G62="",IF($D$35="",0,$D$35),G62)))))))*(IF(G62="",IF($D$35="",0,$D$35),G62))))</f>
        <v/>
      </c>
      <c r="Q96" s="75" t="str">
        <f aca="false">IF(O96="","",O96+P96)</f>
        <v/>
      </c>
      <c r="R96" s="75" t="str">
        <f aca="false">IF(H52="","",IF(11&gt;IF(H55="",10,H55),"",H52*(1+IF(H53="",0,H53))^ROUNDDOWN((11-1)/IF(H54="",5,H54),0)))</f>
        <v/>
      </c>
      <c r="S96" s="75" t="str">
        <f aca="false">IF(R96="","",IF((IF(H62="",IF($D$35="",0,$D$35),H62))=0,0,MAX(0,2881702.81-(IF(H63&lt;&gt;"",H63,IF($D$37&lt;&gt;"",$D$37,IF((IF(H62="",IF($D$35="",0,$D$35),H62))=0,0,H52/(IF(H62="",IF($D$35="",0,$D$35),H62)))))))*(IF(H62="",IF($D$35="",0,$D$35),H62))))</f>
        <v/>
      </c>
      <c r="T96" s="75" t="str">
        <f aca="false">IF(R96="","",R96+S96)</f>
        <v/>
      </c>
    </row>
    <row r="97" customFormat="false" ht="15" hidden="false" customHeight="false" outlineLevel="0" collapsed="false">
      <c r="A97" s="74" t="n">
        <v>12</v>
      </c>
      <c r="B97" s="75" t="n">
        <v>2939337</v>
      </c>
      <c r="C97" s="76" t="n">
        <v>162417</v>
      </c>
      <c r="D97" s="76" t="n">
        <v>0</v>
      </c>
      <c r="E97" s="76" t="n">
        <v>162417</v>
      </c>
      <c r="F97" s="75" t="n">
        <f aca="false">IF(D52="","",IF(12&gt;IF(D55="",10,D55),"",D52*(1+IF(D53="",0,D53))^ROUNDDOWN((12-1)/IF(D54="",5,D54),0)))</f>
        <v>139651.8516</v>
      </c>
      <c r="G97" s="75" t="n">
        <f aca="false">IF(F97="","",IF((IF(D62="",IF($D$35="",0,$D$35),D62))=0,0,MAX(0,2939336.87-(IF(D63&lt;&gt;"",D63,IF($D$37&lt;&gt;"",$D$37,IF((IF(D62="",IF($D$35="",0,$D$35),D62))=0,0,D52/(IF(D62="",IF($D$35="",0,$D$35),D62)))))))*(IF(D62="",IF($D$35="",0,$D$35),D62))))</f>
        <v>0</v>
      </c>
      <c r="H97" s="75" t="n">
        <f aca="false">IF(F97="","",F97+G97)</f>
        <v>139651.8516</v>
      </c>
      <c r="I97" s="75" t="str">
        <f aca="false">IF(E52="","",IF(12&gt;IF(E55="",10,E55),"",E52*(1+IF(E53="",0,E53))^ROUNDDOWN((12-1)/IF(E54="",5,E54),0)))</f>
        <v/>
      </c>
      <c r="J97" s="75" t="str">
        <f aca="false">IF(I97="","",IF((IF(E62="",IF($D$35="",0,$D$35),E62))=0,0,MAX(0,2939336.87-(IF(E63&lt;&gt;"",E63,IF($D$37&lt;&gt;"",$D$37,IF((IF(E62="",IF($D$35="",0,$D$35),E62))=0,0,E52/(IF(E62="",IF($D$35="",0,$D$35),E62)))))))*(IF(E62="",IF($D$35="",0,$D$35),E62))))</f>
        <v/>
      </c>
      <c r="K97" s="75" t="str">
        <f aca="false">IF(I97="","",I97+J97)</f>
        <v/>
      </c>
      <c r="L97" s="75" t="str">
        <f aca="false">IF(F52="","",IF(12&gt;IF(F55="",10,F55),"",F52*(1+IF(F53="",0,F53))^ROUNDDOWN((12-1)/IF(F54="",5,F54),0)))</f>
        <v/>
      </c>
      <c r="M97" s="75" t="str">
        <f aca="false">IF(L97="","",IF((IF(F62="",IF($D$35="",0,$D$35),F62))=0,0,MAX(0,2939336.87-(IF(F63&lt;&gt;"",F63,IF($D$37&lt;&gt;"",$D$37,IF((IF(F62="",IF($D$35="",0,$D$35),F62))=0,0,F52/(IF(F62="",IF($D$35="",0,$D$35),F62)))))))*(IF(F62="",IF($D$35="",0,$D$35),F62))))</f>
        <v/>
      </c>
      <c r="N97" s="75" t="str">
        <f aca="false">IF(L97="","",L97+M97)</f>
        <v/>
      </c>
      <c r="O97" s="75" t="str">
        <f aca="false">IF(G52="","",IF(12&gt;IF(G55="",10,G55),"",G52*(1+IF(G53="",0,G53))^ROUNDDOWN((12-1)/IF(G54="",5,G54),0)))</f>
        <v/>
      </c>
      <c r="P97" s="75" t="str">
        <f aca="false">IF(O97="","",IF((IF(G62="",IF($D$35="",0,$D$35),G62))=0,0,MAX(0,2939336.87-(IF(G63&lt;&gt;"",G63,IF($D$37&lt;&gt;"",$D$37,IF((IF(G62="",IF($D$35="",0,$D$35),G62))=0,0,G52/(IF(G62="",IF($D$35="",0,$D$35),G62)))))))*(IF(G62="",IF($D$35="",0,$D$35),G62))))</f>
        <v/>
      </c>
      <c r="Q97" s="75" t="str">
        <f aca="false">IF(O97="","",O97+P97)</f>
        <v/>
      </c>
      <c r="R97" s="75" t="str">
        <f aca="false">IF(H52="","",IF(12&gt;IF(H55="",10,H55),"",H52*(1+IF(H53="",0,H53))^ROUNDDOWN((12-1)/IF(H54="",5,H54),0)))</f>
        <v/>
      </c>
      <c r="S97" s="75" t="str">
        <f aca="false">IF(R97="","",IF((IF(H62="",IF($D$35="",0,$D$35),H62))=0,0,MAX(0,2939336.87-(IF(H63&lt;&gt;"",H63,IF($D$37&lt;&gt;"",$D$37,IF((IF(H62="",IF($D$35="",0,$D$35),H62))=0,0,H52/(IF(H62="",IF($D$35="",0,$D$35),H62)))))))*(IF(H62="",IF($D$35="",0,$D$35),H62))))</f>
        <v/>
      </c>
      <c r="T97" s="75" t="str">
        <f aca="false">IF(R97="","",R97+S97)</f>
        <v/>
      </c>
    </row>
    <row r="98" customFormat="false" ht="15" hidden="false" customHeight="false" outlineLevel="0" collapsed="false">
      <c r="A98" s="74" t="n">
        <v>13</v>
      </c>
      <c r="B98" s="75" t="n">
        <v>2998124</v>
      </c>
      <c r="C98" s="76" t="n">
        <v>162417</v>
      </c>
      <c r="D98" s="76" t="n">
        <v>0</v>
      </c>
      <c r="E98" s="76" t="n">
        <v>162417</v>
      </c>
      <c r="F98" s="75" t="n">
        <f aca="false">IF(D52="","",IF(13&gt;IF(D55="",10,D55),"",D52*(1+IF(D53="",0,D53))^ROUNDDOWN((13-1)/IF(D54="",5,D54),0)))</f>
        <v>139651.8516</v>
      </c>
      <c r="G98" s="75" t="n">
        <f aca="false">IF(F98="","",IF((IF(D62="",IF($D$35="",0,$D$35),D62))=0,0,MAX(0,2998123.6-(IF(D63&lt;&gt;"",D63,IF($D$37&lt;&gt;"",$D$37,IF((IF(D62="",IF($D$35="",0,$D$35),D62))=0,0,D52/(IF(D62="",IF($D$35="",0,$D$35),D62)))))))*(IF(D62="",IF($D$35="",0,$D$35),D62))))</f>
        <v>0</v>
      </c>
      <c r="H98" s="75" t="n">
        <f aca="false">IF(F98="","",F98+G98)</f>
        <v>139651.8516</v>
      </c>
      <c r="I98" s="75" t="str">
        <f aca="false">IF(E52="","",IF(13&gt;IF(E55="",10,E55),"",E52*(1+IF(E53="",0,E53))^ROUNDDOWN((13-1)/IF(E54="",5,E54),0)))</f>
        <v/>
      </c>
      <c r="J98" s="75" t="str">
        <f aca="false">IF(I98="","",IF((IF(E62="",IF($D$35="",0,$D$35),E62))=0,0,MAX(0,2998123.6-(IF(E63&lt;&gt;"",E63,IF($D$37&lt;&gt;"",$D$37,IF((IF(E62="",IF($D$35="",0,$D$35),E62))=0,0,E52/(IF(E62="",IF($D$35="",0,$D$35),E62)))))))*(IF(E62="",IF($D$35="",0,$D$35),E62))))</f>
        <v/>
      </c>
      <c r="K98" s="75" t="str">
        <f aca="false">IF(I98="","",I98+J98)</f>
        <v/>
      </c>
      <c r="L98" s="75" t="str">
        <f aca="false">IF(F52="","",IF(13&gt;IF(F55="",10,F55),"",F52*(1+IF(F53="",0,F53))^ROUNDDOWN((13-1)/IF(F54="",5,F54),0)))</f>
        <v/>
      </c>
      <c r="M98" s="75" t="str">
        <f aca="false">IF(L98="","",IF((IF(F62="",IF($D$35="",0,$D$35),F62))=0,0,MAX(0,2998123.6-(IF(F63&lt;&gt;"",F63,IF($D$37&lt;&gt;"",$D$37,IF((IF(F62="",IF($D$35="",0,$D$35),F62))=0,0,F52/(IF(F62="",IF($D$35="",0,$D$35),F62)))))))*(IF(F62="",IF($D$35="",0,$D$35),F62))))</f>
        <v/>
      </c>
      <c r="N98" s="75" t="str">
        <f aca="false">IF(L98="","",L98+M98)</f>
        <v/>
      </c>
      <c r="O98" s="75" t="str">
        <f aca="false">IF(G52="","",IF(13&gt;IF(G55="",10,G55),"",G52*(1+IF(G53="",0,G53))^ROUNDDOWN((13-1)/IF(G54="",5,G54),0)))</f>
        <v/>
      </c>
      <c r="P98" s="75" t="str">
        <f aca="false">IF(O98="","",IF((IF(G62="",IF($D$35="",0,$D$35),G62))=0,0,MAX(0,2998123.6-(IF(G63&lt;&gt;"",G63,IF($D$37&lt;&gt;"",$D$37,IF((IF(G62="",IF($D$35="",0,$D$35),G62))=0,0,G52/(IF(G62="",IF($D$35="",0,$D$35),G62)))))))*(IF(G62="",IF($D$35="",0,$D$35),G62))))</f>
        <v/>
      </c>
      <c r="Q98" s="75" t="str">
        <f aca="false">IF(O98="","",O98+P98)</f>
        <v/>
      </c>
      <c r="R98" s="75" t="str">
        <f aca="false">IF(H52="","",IF(13&gt;IF(H55="",10,H55),"",H52*(1+IF(H53="",0,H53))^ROUNDDOWN((13-1)/IF(H54="",5,H54),0)))</f>
        <v/>
      </c>
      <c r="S98" s="75" t="str">
        <f aca="false">IF(R98="","",IF((IF(H62="",IF($D$35="",0,$D$35),H62))=0,0,MAX(0,2998123.6-(IF(H63&lt;&gt;"",H63,IF($D$37&lt;&gt;"",$D$37,IF((IF(H62="",IF($D$35="",0,$D$35),H62))=0,0,H52/(IF(H62="",IF($D$35="",0,$D$35),H62)))))))*(IF(H62="",IF($D$35="",0,$D$35),H62))))</f>
        <v/>
      </c>
      <c r="T98" s="75" t="str">
        <f aca="false">IF(R98="","",R98+S98)</f>
        <v/>
      </c>
    </row>
    <row r="99" customFormat="false" ht="15" hidden="false" customHeight="false" outlineLevel="0" collapsed="false">
      <c r="A99" s="74" t="n">
        <v>14</v>
      </c>
      <c r="B99" s="75" t="n">
        <v>3058086</v>
      </c>
      <c r="C99" s="76" t="n">
        <v>162417</v>
      </c>
      <c r="D99" s="76" t="n">
        <v>0</v>
      </c>
      <c r="E99" s="76" t="n">
        <v>162417</v>
      </c>
      <c r="F99" s="75" t="n">
        <f aca="false">IF(D52="","",IF(14&gt;IF(D55="",10,D55),"",D52*(1+IF(D53="",0,D53))^ROUNDDOWN((14-1)/IF(D54="",5,D54),0)))</f>
        <v>139651.8516</v>
      </c>
      <c r="G99" s="75" t="n">
        <f aca="false">IF(F99="","",IF((IF(D62="",IF($D$35="",0,$D$35),D62))=0,0,MAX(0,3058086.07-(IF(D63&lt;&gt;"",D63,IF($D$37&lt;&gt;"",$D$37,IF((IF(D62="",IF($D$35="",0,$D$35),D62))=0,0,D52/(IF(D62="",IF($D$35="",0,$D$35),D62)))))))*(IF(D62="",IF($D$35="",0,$D$35),D62))))</f>
        <v>0</v>
      </c>
      <c r="H99" s="75" t="n">
        <f aca="false">IF(F99="","",F99+G99)</f>
        <v>139651.8516</v>
      </c>
      <c r="I99" s="75" t="str">
        <f aca="false">IF(E52="","",IF(14&gt;IF(E55="",10,E55),"",E52*(1+IF(E53="",0,E53))^ROUNDDOWN((14-1)/IF(E54="",5,E54),0)))</f>
        <v/>
      </c>
      <c r="J99" s="75" t="str">
        <f aca="false">IF(I99="","",IF((IF(E62="",IF($D$35="",0,$D$35),E62))=0,0,MAX(0,3058086.07-(IF(E63&lt;&gt;"",E63,IF($D$37&lt;&gt;"",$D$37,IF((IF(E62="",IF($D$35="",0,$D$35),E62))=0,0,E52/(IF(E62="",IF($D$35="",0,$D$35),E62)))))))*(IF(E62="",IF($D$35="",0,$D$35),E62))))</f>
        <v/>
      </c>
      <c r="K99" s="75" t="str">
        <f aca="false">IF(I99="","",I99+J99)</f>
        <v/>
      </c>
      <c r="L99" s="75" t="str">
        <f aca="false">IF(F52="","",IF(14&gt;IF(F55="",10,F55),"",F52*(1+IF(F53="",0,F53))^ROUNDDOWN((14-1)/IF(F54="",5,F54),0)))</f>
        <v/>
      </c>
      <c r="M99" s="75" t="str">
        <f aca="false">IF(L99="","",IF((IF(F62="",IF($D$35="",0,$D$35),F62))=0,0,MAX(0,3058086.07-(IF(F63&lt;&gt;"",F63,IF($D$37&lt;&gt;"",$D$37,IF((IF(F62="",IF($D$35="",0,$D$35),F62))=0,0,F52/(IF(F62="",IF($D$35="",0,$D$35),F62)))))))*(IF(F62="",IF($D$35="",0,$D$35),F62))))</f>
        <v/>
      </c>
      <c r="N99" s="75" t="str">
        <f aca="false">IF(L99="","",L99+M99)</f>
        <v/>
      </c>
      <c r="O99" s="75" t="str">
        <f aca="false">IF(G52="","",IF(14&gt;IF(G55="",10,G55),"",G52*(1+IF(G53="",0,G53))^ROUNDDOWN((14-1)/IF(G54="",5,G54),0)))</f>
        <v/>
      </c>
      <c r="P99" s="75" t="str">
        <f aca="false">IF(O99="","",IF((IF(G62="",IF($D$35="",0,$D$35),G62))=0,0,MAX(0,3058086.07-(IF(G63&lt;&gt;"",G63,IF($D$37&lt;&gt;"",$D$37,IF((IF(G62="",IF($D$35="",0,$D$35),G62))=0,0,G52/(IF(G62="",IF($D$35="",0,$D$35),G62)))))))*(IF(G62="",IF($D$35="",0,$D$35),G62))))</f>
        <v/>
      </c>
      <c r="Q99" s="75" t="str">
        <f aca="false">IF(O99="","",O99+P99)</f>
        <v/>
      </c>
      <c r="R99" s="75" t="str">
        <f aca="false">IF(H52="","",IF(14&gt;IF(H55="",10,H55),"",H52*(1+IF(H53="",0,H53))^ROUNDDOWN((14-1)/IF(H54="",5,H54),0)))</f>
        <v/>
      </c>
      <c r="S99" s="75" t="str">
        <f aca="false">IF(R99="","",IF((IF(H62="",IF($D$35="",0,$D$35),H62))=0,0,MAX(0,3058086.07-(IF(H63&lt;&gt;"",H63,IF($D$37&lt;&gt;"",$D$37,IF((IF(H62="",IF($D$35="",0,$D$35),H62))=0,0,H52/(IF(H62="",IF($D$35="",0,$D$35),H62)))))))*(IF(H62="",IF($D$35="",0,$D$35),H62))))</f>
        <v/>
      </c>
      <c r="T99" s="75" t="str">
        <f aca="false">IF(R99="","",R99+S99)</f>
        <v/>
      </c>
    </row>
    <row r="100" customFormat="false" ht="15" hidden="false" customHeight="false" outlineLevel="0" collapsed="false">
      <c r="A100" s="74" t="n">
        <v>15</v>
      </c>
      <c r="B100" s="75" t="n">
        <v>3119248</v>
      </c>
      <c r="C100" s="76" t="n">
        <v>162417</v>
      </c>
      <c r="D100" s="76" t="n">
        <v>0</v>
      </c>
      <c r="E100" s="76" t="n">
        <v>162417</v>
      </c>
      <c r="F100" s="75" t="n">
        <f aca="false">IF(D52="","",IF(15&gt;IF(D55="",10,D55),"",D52*(1+IF(D53="",0,D53))^ROUNDDOWN((15-1)/IF(D54="",5,D54),0)))</f>
        <v>139651.8516</v>
      </c>
      <c r="G100" s="75" t="n">
        <f aca="false">IF(F100="","",IF((IF(D62="",IF($D$35="",0,$D$35),D62))=0,0,MAX(0,3119247.8-(IF(D63&lt;&gt;"",D63,IF($D$37&lt;&gt;"",$D$37,IF((IF(D62="",IF($D$35="",0,$D$35),D62))=0,0,D52/(IF(D62="",IF($D$35="",0,$D$35),D62)))))))*(IF(D62="",IF($D$35="",0,$D$35),D62))))</f>
        <v>0</v>
      </c>
      <c r="H100" s="75" t="n">
        <f aca="false">IF(F100="","",F100+G100)</f>
        <v>139651.8516</v>
      </c>
      <c r="I100" s="75" t="str">
        <f aca="false">IF(E52="","",IF(15&gt;IF(E55="",10,E55),"",E52*(1+IF(E53="",0,E53))^ROUNDDOWN((15-1)/IF(E54="",5,E54),0)))</f>
        <v/>
      </c>
      <c r="J100" s="75" t="str">
        <f aca="false">IF(I100="","",IF((IF(E62="",IF($D$35="",0,$D$35),E62))=0,0,MAX(0,3119247.8-(IF(E63&lt;&gt;"",E63,IF($D$37&lt;&gt;"",$D$37,IF((IF(E62="",IF($D$35="",0,$D$35),E62))=0,0,E52/(IF(E62="",IF($D$35="",0,$D$35),E62)))))))*(IF(E62="",IF($D$35="",0,$D$35),E62))))</f>
        <v/>
      </c>
      <c r="K100" s="75" t="str">
        <f aca="false">IF(I100="","",I100+J100)</f>
        <v/>
      </c>
      <c r="L100" s="75" t="str">
        <f aca="false">IF(F52="","",IF(15&gt;IF(F55="",10,F55),"",F52*(1+IF(F53="",0,F53))^ROUNDDOWN((15-1)/IF(F54="",5,F54),0)))</f>
        <v/>
      </c>
      <c r="M100" s="75" t="str">
        <f aca="false">IF(L100="","",IF((IF(F62="",IF($D$35="",0,$D$35),F62))=0,0,MAX(0,3119247.8-(IF(F63&lt;&gt;"",F63,IF($D$37&lt;&gt;"",$D$37,IF((IF(F62="",IF($D$35="",0,$D$35),F62))=0,0,F52/(IF(F62="",IF($D$35="",0,$D$35),F62)))))))*(IF(F62="",IF($D$35="",0,$D$35),F62))))</f>
        <v/>
      </c>
      <c r="N100" s="75" t="str">
        <f aca="false">IF(L100="","",L100+M100)</f>
        <v/>
      </c>
      <c r="O100" s="75" t="str">
        <f aca="false">IF(G52="","",IF(15&gt;IF(G55="",10,G55),"",G52*(1+IF(G53="",0,G53))^ROUNDDOWN((15-1)/IF(G54="",5,G54),0)))</f>
        <v/>
      </c>
      <c r="P100" s="75" t="str">
        <f aca="false">IF(O100="","",IF((IF(G62="",IF($D$35="",0,$D$35),G62))=0,0,MAX(0,3119247.8-(IF(G63&lt;&gt;"",G63,IF($D$37&lt;&gt;"",$D$37,IF((IF(G62="",IF($D$35="",0,$D$35),G62))=0,0,G52/(IF(G62="",IF($D$35="",0,$D$35),G62)))))))*(IF(G62="",IF($D$35="",0,$D$35),G62))))</f>
        <v/>
      </c>
      <c r="Q100" s="75" t="str">
        <f aca="false">IF(O100="","",O100+P100)</f>
        <v/>
      </c>
      <c r="R100" s="75" t="str">
        <f aca="false">IF(H52="","",IF(15&gt;IF(H55="",10,H55),"",H52*(1+IF(H53="",0,H53))^ROUNDDOWN((15-1)/IF(H54="",5,H54),0)))</f>
        <v/>
      </c>
      <c r="S100" s="75" t="str">
        <f aca="false">IF(R100="","",IF((IF(H62="",IF($D$35="",0,$D$35),H62))=0,0,MAX(0,3119247.8-(IF(H63&lt;&gt;"",H63,IF($D$37&lt;&gt;"",$D$37,IF((IF(H62="",IF($D$35="",0,$D$35),H62))=0,0,H52/(IF(H62="",IF($D$35="",0,$D$35),H62)))))))*(IF(H62="",IF($D$35="",0,$D$35),H62))))</f>
        <v/>
      </c>
      <c r="T100" s="75" t="str">
        <f aca="false">IF(R100="","",R100+S100)</f>
        <v/>
      </c>
    </row>
    <row r="101" customFormat="false" ht="15" hidden="false" customHeight="false" outlineLevel="0" collapsed="false">
      <c r="A101" s="74" t="n">
        <v>16</v>
      </c>
      <c r="B101" s="75" t="n">
        <v>3181633</v>
      </c>
      <c r="C101" s="76" t="n">
        <v>178658</v>
      </c>
      <c r="D101" s="76" t="n">
        <v>0</v>
      </c>
      <c r="E101" s="76" t="n">
        <v>178658</v>
      </c>
      <c r="F101" s="75" t="n">
        <f aca="false">IF(D52="","",IF(16&gt;IF(D55="",10,D55),"",D52*(1+IF(D53="",0,D53))^ROUNDDOWN((16-1)/IF(D54="",5,D54),0)))</f>
        <v>142444.888632</v>
      </c>
      <c r="G101" s="75" t="n">
        <f aca="false">IF(F101="","",IF((IF(D62="",IF($D$35="",0,$D$35),D62))=0,0,MAX(0,3181632.75-(IF(D63&lt;&gt;"",D63,IF($D$37&lt;&gt;"",$D$37,IF((IF(D62="",IF($D$35="",0,$D$35),D62))=0,0,D52/(IF(D62="",IF($D$35="",0,$D$35),D62)))))))*(IF(D62="",IF($D$35="",0,$D$35),D62))))</f>
        <v>0</v>
      </c>
      <c r="H101" s="75" t="n">
        <f aca="false">IF(F101="","",F101+G101)</f>
        <v>142444.888632</v>
      </c>
      <c r="I101" s="75" t="str">
        <f aca="false">IF(E52="","",IF(16&gt;IF(E55="",10,E55),"",E52*(1+IF(E53="",0,E53))^ROUNDDOWN((16-1)/IF(E54="",5,E54),0)))</f>
        <v/>
      </c>
      <c r="J101" s="75" t="str">
        <f aca="false">IF(I101="","",IF((IF(E62="",IF($D$35="",0,$D$35),E62))=0,0,MAX(0,3181632.75-(IF(E63&lt;&gt;"",E63,IF($D$37&lt;&gt;"",$D$37,IF((IF(E62="",IF($D$35="",0,$D$35),E62))=0,0,E52/(IF(E62="",IF($D$35="",0,$D$35),E62)))))))*(IF(E62="",IF($D$35="",0,$D$35),E62))))</f>
        <v/>
      </c>
      <c r="K101" s="75" t="str">
        <f aca="false">IF(I101="","",I101+J101)</f>
        <v/>
      </c>
      <c r="L101" s="75" t="str">
        <f aca="false">IF(F52="","",IF(16&gt;IF(F55="",10,F55),"",F52*(1+IF(F53="",0,F53))^ROUNDDOWN((16-1)/IF(F54="",5,F54),0)))</f>
        <v/>
      </c>
      <c r="M101" s="75" t="str">
        <f aca="false">IF(L101="","",IF((IF(F62="",IF($D$35="",0,$D$35),F62))=0,0,MAX(0,3181632.75-(IF(F63&lt;&gt;"",F63,IF($D$37&lt;&gt;"",$D$37,IF((IF(F62="",IF($D$35="",0,$D$35),F62))=0,0,F52/(IF(F62="",IF($D$35="",0,$D$35),F62)))))))*(IF(F62="",IF($D$35="",0,$D$35),F62))))</f>
        <v/>
      </c>
      <c r="N101" s="75" t="str">
        <f aca="false">IF(L101="","",L101+M101)</f>
        <v/>
      </c>
      <c r="O101" s="75" t="str">
        <f aca="false">IF(G52="","",IF(16&gt;IF(G55="",10,G55),"",G52*(1+IF(G53="",0,G53))^ROUNDDOWN((16-1)/IF(G54="",5,G54),0)))</f>
        <v/>
      </c>
      <c r="P101" s="75" t="str">
        <f aca="false">IF(O101="","",IF((IF(G62="",IF($D$35="",0,$D$35),G62))=0,0,MAX(0,3181632.75-(IF(G63&lt;&gt;"",G63,IF($D$37&lt;&gt;"",$D$37,IF((IF(G62="",IF($D$35="",0,$D$35),G62))=0,0,G52/(IF(G62="",IF($D$35="",0,$D$35),G62)))))))*(IF(G62="",IF($D$35="",0,$D$35),G62))))</f>
        <v/>
      </c>
      <c r="Q101" s="75" t="str">
        <f aca="false">IF(O101="","",O101+P101)</f>
        <v/>
      </c>
      <c r="R101" s="75" t="str">
        <f aca="false">IF(H52="","",IF(16&gt;IF(H55="",10,H55),"",H52*(1+IF(H53="",0,H53))^ROUNDDOWN((16-1)/IF(H54="",5,H54),0)))</f>
        <v/>
      </c>
      <c r="S101" s="75" t="str">
        <f aca="false">IF(R101="","",IF((IF(H62="",IF($D$35="",0,$D$35),H62))=0,0,MAX(0,3181632.75-(IF(H63&lt;&gt;"",H63,IF($D$37&lt;&gt;"",$D$37,IF((IF(H62="",IF($D$35="",0,$D$35),H62))=0,0,H52/(IF(H62="",IF($D$35="",0,$D$35),H62)))))))*(IF(H62="",IF($D$35="",0,$D$35),H62))))</f>
        <v/>
      </c>
      <c r="T101" s="75" t="str">
        <f aca="false">IF(R101="","",R101+S101)</f>
        <v/>
      </c>
    </row>
    <row r="102" customFormat="false" ht="15" hidden="false" customHeight="false" outlineLevel="0" collapsed="false">
      <c r="A102" s="74" t="n">
        <v>17</v>
      </c>
      <c r="B102" s="75" t="n">
        <v>3245265</v>
      </c>
      <c r="C102" s="76" t="n">
        <v>178658</v>
      </c>
      <c r="D102" s="76" t="n">
        <v>0</v>
      </c>
      <c r="E102" s="76" t="n">
        <v>178658</v>
      </c>
      <c r="F102" s="75" t="n">
        <f aca="false">IF(D52="","",IF(17&gt;IF(D55="",10,D55),"",D52*(1+IF(D53="",0,D53))^ROUNDDOWN((17-1)/IF(D54="",5,D54),0)))</f>
        <v>142444.888632</v>
      </c>
      <c r="G102" s="75" t="n">
        <f aca="false">IF(F102="","",IF((IF(D62="",IF($D$35="",0,$D$35),D62))=0,0,MAX(0,3245265.41-(IF(D63&lt;&gt;"",D63,IF($D$37&lt;&gt;"",$D$37,IF((IF(D62="",IF($D$35="",0,$D$35),D62))=0,0,D52/(IF(D62="",IF($D$35="",0,$D$35),D62)))))))*(IF(D62="",IF($D$35="",0,$D$35),D62))))</f>
        <v>0</v>
      </c>
      <c r="H102" s="75" t="n">
        <f aca="false">IF(F102="","",F102+G102)</f>
        <v>142444.888632</v>
      </c>
      <c r="I102" s="75" t="str">
        <f aca="false">IF(E52="","",IF(17&gt;IF(E55="",10,E55),"",E52*(1+IF(E53="",0,E53))^ROUNDDOWN((17-1)/IF(E54="",5,E54),0)))</f>
        <v/>
      </c>
      <c r="J102" s="75" t="str">
        <f aca="false">IF(I102="","",IF((IF(E62="",IF($D$35="",0,$D$35),E62))=0,0,MAX(0,3245265.41-(IF(E63&lt;&gt;"",E63,IF($D$37&lt;&gt;"",$D$37,IF((IF(E62="",IF($D$35="",0,$D$35),E62))=0,0,E52/(IF(E62="",IF($D$35="",0,$D$35),E62)))))))*(IF(E62="",IF($D$35="",0,$D$35),E62))))</f>
        <v/>
      </c>
      <c r="K102" s="75" t="str">
        <f aca="false">IF(I102="","",I102+J102)</f>
        <v/>
      </c>
      <c r="L102" s="75" t="str">
        <f aca="false">IF(F52="","",IF(17&gt;IF(F55="",10,F55),"",F52*(1+IF(F53="",0,F53))^ROUNDDOWN((17-1)/IF(F54="",5,F54),0)))</f>
        <v/>
      </c>
      <c r="M102" s="75" t="str">
        <f aca="false">IF(L102="","",IF((IF(F62="",IF($D$35="",0,$D$35),F62))=0,0,MAX(0,3245265.41-(IF(F63&lt;&gt;"",F63,IF($D$37&lt;&gt;"",$D$37,IF((IF(F62="",IF($D$35="",0,$D$35),F62))=0,0,F52/(IF(F62="",IF($D$35="",0,$D$35),F62)))))))*(IF(F62="",IF($D$35="",0,$D$35),F62))))</f>
        <v/>
      </c>
      <c r="N102" s="75" t="str">
        <f aca="false">IF(L102="","",L102+M102)</f>
        <v/>
      </c>
      <c r="O102" s="75" t="str">
        <f aca="false">IF(G52="","",IF(17&gt;IF(G55="",10,G55),"",G52*(1+IF(G53="",0,G53))^ROUNDDOWN((17-1)/IF(G54="",5,G54),0)))</f>
        <v/>
      </c>
      <c r="P102" s="75" t="str">
        <f aca="false">IF(O102="","",IF((IF(G62="",IF($D$35="",0,$D$35),G62))=0,0,MAX(0,3245265.41-(IF(G63&lt;&gt;"",G63,IF($D$37&lt;&gt;"",$D$37,IF((IF(G62="",IF($D$35="",0,$D$35),G62))=0,0,G52/(IF(G62="",IF($D$35="",0,$D$35),G62)))))))*(IF(G62="",IF($D$35="",0,$D$35),G62))))</f>
        <v/>
      </c>
      <c r="Q102" s="75" t="str">
        <f aca="false">IF(O102="","",O102+P102)</f>
        <v/>
      </c>
      <c r="R102" s="75" t="str">
        <f aca="false">IF(H52="","",IF(17&gt;IF(H55="",10,H55),"",H52*(1+IF(H53="",0,H53))^ROUNDDOWN((17-1)/IF(H54="",5,H54),0)))</f>
        <v/>
      </c>
      <c r="S102" s="75" t="str">
        <f aca="false">IF(R102="","",IF((IF(H62="",IF($D$35="",0,$D$35),H62))=0,0,MAX(0,3245265.41-(IF(H63&lt;&gt;"",H63,IF($D$37&lt;&gt;"",$D$37,IF((IF(H62="",IF($D$35="",0,$D$35),H62))=0,0,H52/(IF(H62="",IF($D$35="",0,$D$35),H62)))))))*(IF(H62="",IF($D$35="",0,$D$35),H62))))</f>
        <v/>
      </c>
      <c r="T102" s="75" t="str">
        <f aca="false">IF(R102="","",R102+S102)</f>
        <v/>
      </c>
    </row>
    <row r="103" customFormat="false" ht="15" hidden="false" customHeight="false" outlineLevel="0" collapsed="false">
      <c r="A103" s="74" t="n">
        <v>18</v>
      </c>
      <c r="B103" s="75" t="n">
        <v>3310171</v>
      </c>
      <c r="C103" s="76" t="n">
        <v>178658</v>
      </c>
      <c r="D103" s="76" t="n">
        <v>0</v>
      </c>
      <c r="E103" s="76" t="n">
        <v>178658</v>
      </c>
      <c r="F103" s="75" t="n">
        <f aca="false">IF(D52="","",IF(18&gt;IF(D55="",10,D55),"",D52*(1+IF(D53="",0,D53))^ROUNDDOWN((18-1)/IF(D54="",5,D54),0)))</f>
        <v>142444.888632</v>
      </c>
      <c r="G103" s="75" t="n">
        <f aca="false">IF(F103="","",IF((IF(D62="",IF($D$35="",0,$D$35),D62))=0,0,MAX(0,3310170.71-(IF(D63&lt;&gt;"",D63,IF($D$37&lt;&gt;"",$D$37,IF((IF(D62="",IF($D$35="",0,$D$35),D62))=0,0,D52/(IF(D62="",IF($D$35="",0,$D$35),D62)))))))*(IF(D62="",IF($D$35="",0,$D$35),D62))))</f>
        <v>0</v>
      </c>
      <c r="H103" s="75" t="n">
        <f aca="false">IF(F103="","",F103+G103)</f>
        <v>142444.888632</v>
      </c>
      <c r="I103" s="75" t="str">
        <f aca="false">IF(E52="","",IF(18&gt;IF(E55="",10,E55),"",E52*(1+IF(E53="",0,E53))^ROUNDDOWN((18-1)/IF(E54="",5,E54),0)))</f>
        <v/>
      </c>
      <c r="J103" s="75" t="str">
        <f aca="false">IF(I103="","",IF((IF(E62="",IF($D$35="",0,$D$35),E62))=0,0,MAX(0,3310170.71-(IF(E63&lt;&gt;"",E63,IF($D$37&lt;&gt;"",$D$37,IF((IF(E62="",IF($D$35="",0,$D$35),E62))=0,0,E52/(IF(E62="",IF($D$35="",0,$D$35),E62)))))))*(IF(E62="",IF($D$35="",0,$D$35),E62))))</f>
        <v/>
      </c>
      <c r="K103" s="75" t="str">
        <f aca="false">IF(I103="","",I103+J103)</f>
        <v/>
      </c>
      <c r="L103" s="75" t="str">
        <f aca="false">IF(F52="","",IF(18&gt;IF(F55="",10,F55),"",F52*(1+IF(F53="",0,F53))^ROUNDDOWN((18-1)/IF(F54="",5,F54),0)))</f>
        <v/>
      </c>
      <c r="M103" s="75" t="str">
        <f aca="false">IF(L103="","",IF((IF(F62="",IF($D$35="",0,$D$35),F62))=0,0,MAX(0,3310170.71-(IF(F63&lt;&gt;"",F63,IF($D$37&lt;&gt;"",$D$37,IF((IF(F62="",IF($D$35="",0,$D$35),F62))=0,0,F52/(IF(F62="",IF($D$35="",0,$D$35),F62)))))))*(IF(F62="",IF($D$35="",0,$D$35),F62))))</f>
        <v/>
      </c>
      <c r="N103" s="75" t="str">
        <f aca="false">IF(L103="","",L103+M103)</f>
        <v/>
      </c>
      <c r="O103" s="75" t="str">
        <f aca="false">IF(G52="","",IF(18&gt;IF(G55="",10,G55),"",G52*(1+IF(G53="",0,G53))^ROUNDDOWN((18-1)/IF(G54="",5,G54),0)))</f>
        <v/>
      </c>
      <c r="P103" s="75" t="str">
        <f aca="false">IF(O103="","",IF((IF(G62="",IF($D$35="",0,$D$35),G62))=0,0,MAX(0,3310170.71-(IF(G63&lt;&gt;"",G63,IF($D$37&lt;&gt;"",$D$37,IF((IF(G62="",IF($D$35="",0,$D$35),G62))=0,0,G52/(IF(G62="",IF($D$35="",0,$D$35),G62)))))))*(IF(G62="",IF($D$35="",0,$D$35),G62))))</f>
        <v/>
      </c>
      <c r="Q103" s="75" t="str">
        <f aca="false">IF(O103="","",O103+P103)</f>
        <v/>
      </c>
      <c r="R103" s="75" t="str">
        <f aca="false">IF(H52="","",IF(18&gt;IF(H55="",10,H55),"",H52*(1+IF(H53="",0,H53))^ROUNDDOWN((18-1)/IF(H54="",5,H54),0)))</f>
        <v/>
      </c>
      <c r="S103" s="75" t="str">
        <f aca="false">IF(R103="","",IF((IF(H62="",IF($D$35="",0,$D$35),H62))=0,0,MAX(0,3310170.71-(IF(H63&lt;&gt;"",H63,IF($D$37&lt;&gt;"",$D$37,IF((IF(H62="",IF($D$35="",0,$D$35),H62))=0,0,H52/(IF(H62="",IF($D$35="",0,$D$35),H62)))))))*(IF(H62="",IF($D$35="",0,$D$35),H62))))</f>
        <v/>
      </c>
      <c r="T103" s="75" t="str">
        <f aca="false">IF(R103="","",R103+S103)</f>
        <v/>
      </c>
    </row>
    <row r="104" customFormat="false" ht="15" hidden="false" customHeight="false" outlineLevel="0" collapsed="false">
      <c r="A104" s="74" t="n">
        <v>19</v>
      </c>
      <c r="B104" s="75" t="n">
        <v>3376374</v>
      </c>
      <c r="C104" s="76" t="n">
        <v>178658</v>
      </c>
      <c r="D104" s="76" t="n">
        <v>0</v>
      </c>
      <c r="E104" s="76" t="n">
        <v>178658</v>
      </c>
      <c r="F104" s="75" t="n">
        <f aca="false">IF(D52="","",IF(19&gt;IF(D55="",10,D55),"",D52*(1+IF(D53="",0,D53))^ROUNDDOWN((19-1)/IF(D54="",5,D54),0)))</f>
        <v>142444.888632</v>
      </c>
      <c r="G104" s="75" t="n">
        <f aca="false">IF(F104="","",IF((IF(D62="",IF($D$35="",0,$D$35),D62))=0,0,MAX(0,3376374.13-(IF(D63&lt;&gt;"",D63,IF($D$37&lt;&gt;"",$D$37,IF((IF(D62="",IF($D$35="",0,$D$35),D62))=0,0,D52/(IF(D62="",IF($D$35="",0,$D$35),D62)))))))*(IF(D62="",IF($D$35="",0,$D$35),D62))))</f>
        <v>0</v>
      </c>
      <c r="H104" s="75" t="n">
        <f aca="false">IF(F104="","",F104+G104)</f>
        <v>142444.888632</v>
      </c>
      <c r="I104" s="75" t="str">
        <f aca="false">IF(E52="","",IF(19&gt;IF(E55="",10,E55),"",E52*(1+IF(E53="",0,E53))^ROUNDDOWN((19-1)/IF(E54="",5,E54),0)))</f>
        <v/>
      </c>
      <c r="J104" s="75" t="str">
        <f aca="false">IF(I104="","",IF((IF(E62="",IF($D$35="",0,$D$35),E62))=0,0,MAX(0,3376374.13-(IF(E63&lt;&gt;"",E63,IF($D$37&lt;&gt;"",$D$37,IF((IF(E62="",IF($D$35="",0,$D$35),E62))=0,0,E52/(IF(E62="",IF($D$35="",0,$D$35),E62)))))))*(IF(E62="",IF($D$35="",0,$D$35),E62))))</f>
        <v/>
      </c>
      <c r="K104" s="75" t="str">
        <f aca="false">IF(I104="","",I104+J104)</f>
        <v/>
      </c>
      <c r="L104" s="75" t="str">
        <f aca="false">IF(F52="","",IF(19&gt;IF(F55="",10,F55),"",F52*(1+IF(F53="",0,F53))^ROUNDDOWN((19-1)/IF(F54="",5,F54),0)))</f>
        <v/>
      </c>
      <c r="M104" s="75" t="str">
        <f aca="false">IF(L104="","",IF((IF(F62="",IF($D$35="",0,$D$35),F62))=0,0,MAX(0,3376374.13-(IF(F63&lt;&gt;"",F63,IF($D$37&lt;&gt;"",$D$37,IF((IF(F62="",IF($D$35="",0,$D$35),F62))=0,0,F52/(IF(F62="",IF($D$35="",0,$D$35),F62)))))))*(IF(F62="",IF($D$35="",0,$D$35),F62))))</f>
        <v/>
      </c>
      <c r="N104" s="75" t="str">
        <f aca="false">IF(L104="","",L104+M104)</f>
        <v/>
      </c>
      <c r="O104" s="75" t="str">
        <f aca="false">IF(G52="","",IF(19&gt;IF(G55="",10,G55),"",G52*(1+IF(G53="",0,G53))^ROUNDDOWN((19-1)/IF(G54="",5,G54),0)))</f>
        <v/>
      </c>
      <c r="P104" s="75" t="str">
        <f aca="false">IF(O104="","",IF((IF(G62="",IF($D$35="",0,$D$35),G62))=0,0,MAX(0,3376374.13-(IF(G63&lt;&gt;"",G63,IF($D$37&lt;&gt;"",$D$37,IF((IF(G62="",IF($D$35="",0,$D$35),G62))=0,0,G52/(IF(G62="",IF($D$35="",0,$D$35),G62)))))))*(IF(G62="",IF($D$35="",0,$D$35),G62))))</f>
        <v/>
      </c>
      <c r="Q104" s="75" t="str">
        <f aca="false">IF(O104="","",O104+P104)</f>
        <v/>
      </c>
      <c r="R104" s="75" t="str">
        <f aca="false">IF(H52="","",IF(19&gt;IF(H55="",10,H55),"",H52*(1+IF(H53="",0,H53))^ROUNDDOWN((19-1)/IF(H54="",5,H54),0)))</f>
        <v/>
      </c>
      <c r="S104" s="75" t="str">
        <f aca="false">IF(R104="","",IF((IF(H62="",IF($D$35="",0,$D$35),H62))=0,0,MAX(0,3376374.13-(IF(H63&lt;&gt;"",H63,IF($D$37&lt;&gt;"",$D$37,IF((IF(H62="",IF($D$35="",0,$D$35),H62))=0,0,H52/(IF(H62="",IF($D$35="",0,$D$35),H62)))))))*(IF(H62="",IF($D$35="",0,$D$35),H62))))</f>
        <v/>
      </c>
      <c r="T104" s="75" t="str">
        <f aca="false">IF(R104="","",R104+S104)</f>
        <v/>
      </c>
    </row>
    <row r="105" customFormat="false" ht="15" hidden="false" customHeight="false" outlineLevel="0" collapsed="false">
      <c r="A105" s="74" t="n">
        <v>20</v>
      </c>
      <c r="B105" s="75" t="n">
        <v>3443902</v>
      </c>
      <c r="C105" s="76" t="n">
        <v>178658</v>
      </c>
      <c r="D105" s="76" t="n">
        <v>0</v>
      </c>
      <c r="E105" s="76" t="n">
        <v>178658</v>
      </c>
      <c r="F105" s="75" t="n">
        <f aca="false">IF(D52="","",IF(20&gt;IF(D55="",10,D55),"",D52*(1+IF(D53="",0,D53))^ROUNDDOWN((20-1)/IF(D54="",5,D54),0)))</f>
        <v>142444.888632</v>
      </c>
      <c r="G105" s="75" t="n">
        <f aca="false">IF(F105="","",IF((IF(D62="",IF($D$35="",0,$D$35),D62))=0,0,MAX(0,3443901.61-(IF(D63&lt;&gt;"",D63,IF($D$37&lt;&gt;"",$D$37,IF((IF(D62="",IF($D$35="",0,$D$35),D62))=0,0,D52/(IF(D62="",IF($D$35="",0,$D$35),D62)))))))*(IF(D62="",IF($D$35="",0,$D$35),D62))))</f>
        <v>0</v>
      </c>
      <c r="H105" s="75" t="n">
        <f aca="false">IF(F105="","",F105+G105)</f>
        <v>142444.888632</v>
      </c>
      <c r="I105" s="75" t="str">
        <f aca="false">IF(E52="","",IF(20&gt;IF(E55="",10,E55),"",E52*(1+IF(E53="",0,E53))^ROUNDDOWN((20-1)/IF(E54="",5,E54),0)))</f>
        <v/>
      </c>
      <c r="J105" s="75" t="str">
        <f aca="false">IF(I105="","",IF((IF(E62="",IF($D$35="",0,$D$35),E62))=0,0,MAX(0,3443901.61-(IF(E63&lt;&gt;"",E63,IF($D$37&lt;&gt;"",$D$37,IF((IF(E62="",IF($D$35="",0,$D$35),E62))=0,0,E52/(IF(E62="",IF($D$35="",0,$D$35),E62)))))))*(IF(E62="",IF($D$35="",0,$D$35),E62))))</f>
        <v/>
      </c>
      <c r="K105" s="75" t="str">
        <f aca="false">IF(I105="","",I105+J105)</f>
        <v/>
      </c>
      <c r="L105" s="75" t="str">
        <f aca="false">IF(F52="","",IF(20&gt;IF(F55="",10,F55),"",F52*(1+IF(F53="",0,F53))^ROUNDDOWN((20-1)/IF(F54="",5,F54),0)))</f>
        <v/>
      </c>
      <c r="M105" s="75" t="str">
        <f aca="false">IF(L105="","",IF((IF(F62="",IF($D$35="",0,$D$35),F62))=0,0,MAX(0,3443901.61-(IF(F63&lt;&gt;"",F63,IF($D$37&lt;&gt;"",$D$37,IF((IF(F62="",IF($D$35="",0,$D$35),F62))=0,0,F52/(IF(F62="",IF($D$35="",0,$D$35),F62)))))))*(IF(F62="",IF($D$35="",0,$D$35),F62))))</f>
        <v/>
      </c>
      <c r="N105" s="75" t="str">
        <f aca="false">IF(L105="","",L105+M105)</f>
        <v/>
      </c>
      <c r="O105" s="75" t="str">
        <f aca="false">IF(G52="","",IF(20&gt;IF(G55="",10,G55),"",G52*(1+IF(G53="",0,G53))^ROUNDDOWN((20-1)/IF(G54="",5,G54),0)))</f>
        <v/>
      </c>
      <c r="P105" s="75" t="str">
        <f aca="false">IF(O105="","",IF((IF(G62="",IF($D$35="",0,$D$35),G62))=0,0,MAX(0,3443901.61-(IF(G63&lt;&gt;"",G63,IF($D$37&lt;&gt;"",$D$37,IF((IF(G62="",IF($D$35="",0,$D$35),G62))=0,0,G52/(IF(G62="",IF($D$35="",0,$D$35),G62)))))))*(IF(G62="",IF($D$35="",0,$D$35),G62))))</f>
        <v/>
      </c>
      <c r="Q105" s="75" t="str">
        <f aca="false">IF(O105="","",O105+P105)</f>
        <v/>
      </c>
      <c r="R105" s="75" t="str">
        <f aca="false">IF(H52="","",IF(20&gt;IF(H55="",10,H55),"",H52*(1+IF(H53="",0,H53))^ROUNDDOWN((20-1)/IF(H54="",5,H54),0)))</f>
        <v/>
      </c>
      <c r="S105" s="75" t="str">
        <f aca="false">IF(R105="","",IF((IF(H62="",IF($D$35="",0,$D$35),H62))=0,0,MAX(0,3443901.61-(IF(H63&lt;&gt;"",H63,IF($D$37&lt;&gt;"",$D$37,IF((IF(H62="",IF($D$35="",0,$D$35),H62))=0,0,H52/(IF(H62="",IF($D$35="",0,$D$35),H62)))))))*(IF(H62="",IF($D$35="",0,$D$35),H62))))</f>
        <v/>
      </c>
      <c r="T105" s="75" t="str">
        <f aca="false">IF(R105="","",R105+S105)</f>
        <v/>
      </c>
    </row>
    <row r="106" customFormat="false" ht="15" hidden="false" customHeight="false" outlineLevel="0" collapsed="false">
      <c r="A106" s="77" t="s">
        <v>394</v>
      </c>
      <c r="C106" s="78" t="n">
        <f aca="false">IF(COUNT(C86:C105)=0,"",SUM(C86:C105))</f>
        <v>3114775</v>
      </c>
      <c r="D106" s="78" t="n">
        <f aca="false">IF(COUNT(D86:D105)=0,"",SUM(D86:D105))</f>
        <v>0</v>
      </c>
      <c r="E106" s="78" t="n">
        <f aca="false">IF(COUNT(E86:E105)=0,"",SUM(E86:E105))</f>
        <v>3114775</v>
      </c>
      <c r="F106" s="78" t="n">
        <f aca="false">IF(COUNT(F86:F105)=0,"",SUM(F86:F105))</f>
        <v>2766196.60116</v>
      </c>
      <c r="G106" s="78" t="n">
        <f aca="false">IF(COUNT(G86:G105)=0,"",SUM(G86:G105))</f>
        <v>0</v>
      </c>
      <c r="H106" s="78" t="n">
        <f aca="false">IF(COUNT(H86:H105)=0,"",SUM(H86:H105))</f>
        <v>2766196.60116</v>
      </c>
      <c r="I106" s="78" t="str">
        <f aca="false">IF(COUNT(I86:I105)=0,"",SUM(I86:I105))</f>
        <v/>
      </c>
      <c r="J106" s="78" t="str">
        <f aca="false">IF(COUNT(J86:J105)=0,"",SUM(J86:J105))</f>
        <v/>
      </c>
      <c r="K106" s="78" t="str">
        <f aca="false">IF(COUNT(K86:K105)=0,"",SUM(K86:K105))</f>
        <v/>
      </c>
      <c r="L106" s="78" t="str">
        <f aca="false">IF(COUNT(L86:L105)=0,"",SUM(L86:L105))</f>
        <v/>
      </c>
      <c r="M106" s="78" t="str">
        <f aca="false">IF(COUNT(M86:M105)=0,"",SUM(M86:M105))</f>
        <v/>
      </c>
      <c r="N106" s="78" t="str">
        <f aca="false">IF(COUNT(N86:N105)=0,"",SUM(N86:N105))</f>
        <v/>
      </c>
      <c r="O106" s="78" t="str">
        <f aca="false">IF(COUNT(O86:O105)=0,"",SUM(O86:O105))</f>
        <v/>
      </c>
      <c r="P106" s="78" t="str">
        <f aca="false">IF(COUNT(P86:P105)=0,"",SUM(P86:P105))</f>
        <v/>
      </c>
      <c r="Q106" s="78" t="str">
        <f aca="false">IF(COUNT(Q86:Q105)=0,"",SUM(Q86:Q105))</f>
        <v/>
      </c>
      <c r="R106" s="78" t="str">
        <f aca="false">IF(COUNT(R86:R105)=0,"",SUM(R86:R105))</f>
        <v/>
      </c>
      <c r="S106" s="78" t="str">
        <f aca="false">IF(COUNT(S86:S105)=0,"",SUM(S86:S105))</f>
        <v/>
      </c>
      <c r="T106" s="78" t="str">
        <f aca="false">IF(COUNT(T86:T105)=0,"",SUM(T86:T105))</f>
        <v/>
      </c>
    </row>
    <row r="107" customFormat="false" ht="15" hidden="false" customHeight="false" outlineLevel="0" collapsed="false">
      <c r="A107" s="69" t="s">
        <v>395</v>
      </c>
      <c r="B107" s="69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</row>
  </sheetData>
  <mergeCells count="83">
    <mergeCell ref="A2:J2"/>
    <mergeCell ref="A3:J3"/>
    <mergeCell ref="A4:J4"/>
    <mergeCell ref="A5:J5"/>
    <mergeCell ref="A6:J6"/>
    <mergeCell ref="A7:J7"/>
    <mergeCell ref="A8:J8"/>
    <mergeCell ref="A10:C10"/>
    <mergeCell ref="D10:J10"/>
    <mergeCell ref="A11:C11"/>
    <mergeCell ref="D11:J11"/>
    <mergeCell ref="A12:C12"/>
    <mergeCell ref="D12:J12"/>
    <mergeCell ref="A13:C13"/>
    <mergeCell ref="D13:J13"/>
    <mergeCell ref="A14:C14"/>
    <mergeCell ref="D14:J14"/>
    <mergeCell ref="G17:J17"/>
    <mergeCell ref="G18:J18"/>
    <mergeCell ref="G19:J19"/>
    <mergeCell ref="G20:J20"/>
    <mergeCell ref="A21:D21"/>
    <mergeCell ref="A22:J22"/>
    <mergeCell ref="A25:C25"/>
    <mergeCell ref="A26:C26"/>
    <mergeCell ref="E26:J26"/>
    <mergeCell ref="A27:C27"/>
    <mergeCell ref="E27:J27"/>
    <mergeCell ref="A28:C28"/>
    <mergeCell ref="A29:C29"/>
    <mergeCell ref="A30:C30"/>
    <mergeCell ref="E30:J30"/>
    <mergeCell ref="A31:J31"/>
    <mergeCell ref="A32:J32"/>
    <mergeCell ref="A35:C35"/>
    <mergeCell ref="E35:J35"/>
    <mergeCell ref="A36:C36"/>
    <mergeCell ref="E36:J36"/>
    <mergeCell ref="A37:C37"/>
    <mergeCell ref="E37:J37"/>
    <mergeCell ref="A38:C38"/>
    <mergeCell ref="E38:J38"/>
    <mergeCell ref="A39:C39"/>
    <mergeCell ref="A40:C40"/>
    <mergeCell ref="A41:C41"/>
    <mergeCell ref="A42:C42"/>
    <mergeCell ref="A47:G47"/>
    <mergeCell ref="A50:C50"/>
    <mergeCell ref="A51:C51"/>
    <mergeCell ref="A52:C52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2:C62"/>
    <mergeCell ref="A63:C63"/>
    <mergeCell ref="A64:C64"/>
    <mergeCell ref="A65:C65"/>
    <mergeCell ref="A66:C66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7:J77"/>
    <mergeCell ref="A79:J79"/>
    <mergeCell ref="A83:T83"/>
    <mergeCell ref="C84:E84"/>
    <mergeCell ref="F84:H84"/>
    <mergeCell ref="I84:K84"/>
    <mergeCell ref="L84:N84"/>
    <mergeCell ref="O84:Q84"/>
    <mergeCell ref="R84:T84"/>
    <mergeCell ref="A107:T107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T10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6"/>
    <col collapsed="false" customWidth="true" hidden="false" outlineLevel="0" max="2" min="2" style="0" width="22"/>
    <col collapsed="false" customWidth="true" hidden="false" outlineLevel="0" max="3" min="3" style="0" width="11"/>
    <col collapsed="false" customWidth="true" hidden="false" outlineLevel="0" max="4" min="4" style="0" width="14"/>
    <col collapsed="false" customWidth="true" hidden="false" outlineLevel="0" max="6" min="5" style="0" width="12"/>
    <col collapsed="false" customWidth="true" hidden="false" outlineLevel="0" max="7" min="7" style="0" width="14"/>
    <col collapsed="false" customWidth="true" hidden="false" outlineLevel="0" max="9" min="8" style="0" width="13"/>
    <col collapsed="false" customWidth="true" hidden="false" outlineLevel="0" max="10" min="10" style="0" width="26"/>
  </cols>
  <sheetData>
    <row r="1" customFormat="false" ht="16.15" hidden="false" customHeight="false" outlineLevel="0" collapsed="false">
      <c r="A1" s="3" t="s">
        <v>919</v>
      </c>
    </row>
    <row r="2" customFormat="false" ht="25.5" hidden="false" customHeight="true" outlineLevel="0" collapsed="false">
      <c r="A2" s="12" t="s">
        <v>251</v>
      </c>
      <c r="B2" s="12"/>
      <c r="C2" s="12"/>
      <c r="D2" s="12"/>
      <c r="E2" s="12"/>
      <c r="F2" s="12"/>
      <c r="G2" s="12"/>
      <c r="H2" s="12"/>
      <c r="I2" s="12"/>
      <c r="J2" s="12"/>
    </row>
    <row r="3" customFormat="false" ht="15" hidden="false" customHeight="true" outlineLevel="0" collapsed="false">
      <c r="A3" s="16" t="s">
        <v>920</v>
      </c>
      <c r="B3" s="16"/>
      <c r="C3" s="16"/>
      <c r="D3" s="16"/>
      <c r="E3" s="16"/>
      <c r="F3" s="16"/>
      <c r="G3" s="16"/>
      <c r="H3" s="16"/>
      <c r="I3" s="16"/>
      <c r="J3" s="16"/>
    </row>
    <row r="4" customFormat="false" ht="30" hidden="false" customHeight="true" outlineLevel="0" collapsed="false">
      <c r="A4" s="17" t="s">
        <v>104</v>
      </c>
      <c r="B4" s="17"/>
      <c r="C4" s="17"/>
      <c r="D4" s="17"/>
      <c r="E4" s="17"/>
      <c r="F4" s="17"/>
      <c r="G4" s="17"/>
      <c r="H4" s="17"/>
      <c r="I4" s="17"/>
      <c r="J4" s="17"/>
    </row>
    <row r="5" customFormat="false" ht="15" hidden="false" customHeight="true" outlineLevel="0" collapsed="false">
      <c r="A5" s="79" t="s">
        <v>105</v>
      </c>
      <c r="B5" s="79"/>
      <c r="C5" s="79"/>
      <c r="D5" s="79"/>
      <c r="E5" s="79"/>
      <c r="F5" s="79"/>
      <c r="G5" s="79"/>
      <c r="H5" s="79"/>
      <c r="I5" s="79"/>
      <c r="J5" s="79"/>
    </row>
    <row r="6" customFormat="false" ht="15" hidden="false" customHeight="true" outlineLevel="0" collapsed="false">
      <c r="A6" s="19" t="s">
        <v>106</v>
      </c>
      <c r="B6" s="19"/>
      <c r="C6" s="19"/>
      <c r="D6" s="19"/>
      <c r="E6" s="19"/>
      <c r="F6" s="19"/>
      <c r="G6" s="19"/>
      <c r="H6" s="19"/>
      <c r="I6" s="19"/>
      <c r="J6" s="19"/>
    </row>
    <row r="7" customFormat="false" ht="23.85" hidden="false" customHeight="true" outlineLevel="0" collapsed="false">
      <c r="A7" s="20" t="s">
        <v>921</v>
      </c>
      <c r="B7" s="20"/>
      <c r="C7" s="20"/>
      <c r="D7" s="20"/>
      <c r="E7" s="20"/>
      <c r="F7" s="20"/>
      <c r="G7" s="20"/>
      <c r="H7" s="20"/>
      <c r="I7" s="20"/>
      <c r="J7" s="20"/>
    </row>
    <row r="8" customFormat="false" ht="15" hidden="false" customHeight="true" outlineLevel="0" collapsed="false">
      <c r="A8" s="21" t="s">
        <v>254</v>
      </c>
      <c r="B8" s="21"/>
      <c r="C8" s="21"/>
      <c r="D8" s="21"/>
      <c r="E8" s="21"/>
      <c r="F8" s="21"/>
      <c r="G8" s="21"/>
      <c r="H8" s="21"/>
      <c r="I8" s="21"/>
      <c r="J8" s="21"/>
    </row>
    <row r="10" customFormat="false" ht="15" hidden="false" customHeight="true" outlineLevel="0" collapsed="false">
      <c r="A10" s="22" t="s">
        <v>255</v>
      </c>
      <c r="B10" s="22"/>
      <c r="C10" s="22"/>
      <c r="D10" s="23" t="s">
        <v>922</v>
      </c>
      <c r="E10" s="23"/>
      <c r="F10" s="23"/>
      <c r="G10" s="23"/>
      <c r="H10" s="23"/>
      <c r="I10" s="23"/>
      <c r="J10" s="23"/>
    </row>
    <row r="11" customFormat="false" ht="15" hidden="false" customHeight="true" outlineLevel="0" collapsed="false">
      <c r="A11" s="22" t="s">
        <v>257</v>
      </c>
      <c r="B11" s="22"/>
      <c r="C11" s="22"/>
      <c r="D11" s="23" t="s">
        <v>923</v>
      </c>
      <c r="E11" s="23"/>
      <c r="F11" s="23"/>
      <c r="G11" s="23"/>
      <c r="H11" s="23"/>
      <c r="I11" s="23"/>
      <c r="J11" s="23"/>
    </row>
    <row r="12" customFormat="false" ht="15" hidden="false" customHeight="true" outlineLevel="0" collapsed="false">
      <c r="A12" s="22" t="s">
        <v>259</v>
      </c>
      <c r="B12" s="22"/>
      <c r="C12" s="22"/>
      <c r="D12" s="86"/>
      <c r="E12" s="86"/>
      <c r="F12" s="86"/>
      <c r="G12" s="86"/>
      <c r="H12" s="86"/>
      <c r="I12" s="86"/>
      <c r="J12" s="86"/>
    </row>
    <row r="13" customFormat="false" ht="15" hidden="false" customHeight="true" outlineLevel="0" collapsed="false">
      <c r="A13" s="22" t="s">
        <v>261</v>
      </c>
      <c r="B13" s="22"/>
      <c r="C13" s="22"/>
      <c r="D13" s="24" t="n">
        <v>2040006.73</v>
      </c>
      <c r="E13" s="24"/>
      <c r="F13" s="24"/>
      <c r="G13" s="24"/>
      <c r="H13" s="24"/>
      <c r="I13" s="24"/>
      <c r="J13" s="24"/>
    </row>
    <row r="14" customFormat="false" ht="46.25" hidden="false" customHeight="true" outlineLevel="0" collapsed="false">
      <c r="A14" s="22" t="s">
        <v>262</v>
      </c>
      <c r="B14" s="22"/>
      <c r="C14" s="22"/>
      <c r="D14" s="22" t="s">
        <v>924</v>
      </c>
      <c r="E14" s="22"/>
      <c r="F14" s="22"/>
      <c r="G14" s="22"/>
      <c r="H14" s="22"/>
      <c r="I14" s="22"/>
      <c r="J14" s="22"/>
    </row>
    <row r="16" customFormat="false" ht="15" hidden="false" customHeight="false" outlineLevel="0" collapsed="false">
      <c r="A16" s="25" t="s">
        <v>264</v>
      </c>
    </row>
    <row r="17" customFormat="false" ht="22.35" hidden="false" customHeight="true" outlineLevel="0" collapsed="false">
      <c r="A17" s="26" t="s">
        <v>265</v>
      </c>
      <c r="B17" s="26" t="s">
        <v>266</v>
      </c>
      <c r="C17" s="26" t="s">
        <v>267</v>
      </c>
      <c r="D17" s="26" t="s">
        <v>268</v>
      </c>
      <c r="E17" s="26" t="s">
        <v>269</v>
      </c>
      <c r="F17" s="26" t="s">
        <v>270</v>
      </c>
      <c r="G17" s="26" t="s">
        <v>271</v>
      </c>
      <c r="H17" s="26"/>
      <c r="I17" s="26"/>
      <c r="J17" s="26"/>
    </row>
    <row r="18" customFormat="false" ht="23.85" hidden="false" customHeight="true" outlineLevel="0" collapsed="false">
      <c r="A18" s="27" t="s">
        <v>925</v>
      </c>
      <c r="B18" s="28" t="s">
        <v>404</v>
      </c>
      <c r="C18" s="28" t="s">
        <v>926</v>
      </c>
      <c r="D18" s="29" t="n">
        <v>8000</v>
      </c>
      <c r="E18" s="30" t="n">
        <f aca="false">IF(D18="","",D18*12)</f>
        <v>96000</v>
      </c>
      <c r="F18" s="31" t="n">
        <v>5.2</v>
      </c>
      <c r="G18" s="32" t="s">
        <v>927</v>
      </c>
      <c r="H18" s="32"/>
      <c r="I18" s="32"/>
      <c r="J18" s="32"/>
    </row>
    <row r="19" customFormat="false" ht="15" hidden="false" customHeight="true" outlineLevel="0" collapsed="false">
      <c r="A19" s="27" t="s">
        <v>928</v>
      </c>
      <c r="B19" s="28" t="s">
        <v>929</v>
      </c>
      <c r="C19" s="28" t="s">
        <v>930</v>
      </c>
      <c r="D19" s="80" t="n">
        <v>11500</v>
      </c>
      <c r="E19" s="30" t="n">
        <f aca="false">IF(D19="","",D19*12)</f>
        <v>138000</v>
      </c>
      <c r="F19" s="31" t="n">
        <v>4.8</v>
      </c>
      <c r="G19" s="32" t="s">
        <v>931</v>
      </c>
      <c r="H19" s="32"/>
      <c r="I19" s="32"/>
      <c r="J19" s="32"/>
    </row>
    <row r="20" customFormat="false" ht="15" hidden="false" customHeight="false" outlineLevel="0" collapsed="false">
      <c r="A20" s="34" t="s">
        <v>284</v>
      </c>
      <c r="B20" s="34"/>
      <c r="C20" s="34"/>
      <c r="D20" s="34"/>
      <c r="E20" s="35" t="n">
        <f aca="false">IF(SUMPRODUCT(E18:E19,F18:F19)=0,"",SUMPRODUCT(E18:E19,F18:F19))</f>
        <v>1161600</v>
      </c>
      <c r="F20" s="36"/>
      <c r="G20" s="36"/>
      <c r="H20" s="36"/>
      <c r="I20" s="36"/>
      <c r="J20" s="36"/>
    </row>
    <row r="21" customFormat="false" ht="15" hidden="false" customHeight="false" outlineLevel="0" collapsed="false">
      <c r="A21" s="81" t="s">
        <v>932</v>
      </c>
      <c r="B21" s="81"/>
      <c r="C21" s="81"/>
      <c r="D21" s="81"/>
      <c r="E21" s="81"/>
      <c r="F21" s="81"/>
      <c r="G21" s="81"/>
      <c r="H21" s="81"/>
      <c r="I21" s="81"/>
      <c r="J21" s="81"/>
    </row>
    <row r="23" customFormat="false" ht="15" hidden="false" customHeight="false" outlineLevel="0" collapsed="false">
      <c r="A23" s="25" t="s">
        <v>286</v>
      </c>
    </row>
    <row r="24" customFormat="false" ht="15" hidden="false" customHeight="true" outlineLevel="0" collapsed="false">
      <c r="A24" s="22" t="s">
        <v>287</v>
      </c>
      <c r="B24" s="22"/>
      <c r="C24" s="22"/>
      <c r="D24" s="35" t="n">
        <v>96000</v>
      </c>
      <c r="E24" s="36"/>
      <c r="F24" s="36"/>
      <c r="G24" s="36"/>
      <c r="H24" s="36"/>
      <c r="I24" s="36"/>
      <c r="J24" s="36"/>
    </row>
    <row r="25" customFormat="false" ht="15" hidden="false" customHeight="true" outlineLevel="0" collapsed="false">
      <c r="A25" s="22" t="s">
        <v>288</v>
      </c>
      <c r="B25" s="22"/>
      <c r="C25" s="22"/>
      <c r="D25" s="38" t="n">
        <v>0.0470586682819424</v>
      </c>
      <c r="E25" s="39" t="s">
        <v>289</v>
      </c>
      <c r="F25" s="39"/>
      <c r="G25" s="39"/>
      <c r="H25" s="39"/>
      <c r="I25" s="39"/>
      <c r="J25" s="39"/>
    </row>
    <row r="26" customFormat="false" ht="15" hidden="false" customHeight="true" outlineLevel="0" collapsed="false">
      <c r="A26" s="22" t="s">
        <v>933</v>
      </c>
      <c r="B26" s="22"/>
      <c r="C26" s="22"/>
      <c r="D26" s="35" t="n">
        <v>22435.66</v>
      </c>
      <c r="E26" s="39" t="s">
        <v>291</v>
      </c>
      <c r="F26" s="39"/>
      <c r="G26" s="39"/>
      <c r="H26" s="39"/>
      <c r="I26" s="39"/>
      <c r="J26" s="39"/>
    </row>
    <row r="27" customFormat="false" ht="15" hidden="false" customHeight="true" outlineLevel="0" collapsed="false">
      <c r="A27" s="22" t="s">
        <v>292</v>
      </c>
      <c r="B27" s="22"/>
      <c r="C27" s="22"/>
      <c r="D27" s="35" t="n">
        <v>34805.22</v>
      </c>
      <c r="E27" s="36"/>
      <c r="F27" s="36"/>
      <c r="G27" s="36"/>
      <c r="H27" s="36"/>
      <c r="I27" s="36"/>
      <c r="J27" s="36"/>
    </row>
    <row r="28" customFormat="false" ht="15" hidden="false" customHeight="true" outlineLevel="0" collapsed="false">
      <c r="A28" s="22" t="s">
        <v>293</v>
      </c>
      <c r="B28" s="22"/>
      <c r="C28" s="22"/>
      <c r="D28" s="35" t="n">
        <v>153240.88</v>
      </c>
      <c r="E28" s="36"/>
      <c r="F28" s="36"/>
      <c r="G28" s="36"/>
      <c r="H28" s="36"/>
      <c r="I28" s="36"/>
      <c r="J28" s="36"/>
    </row>
    <row r="29" customFormat="false" ht="15" hidden="false" customHeight="true" outlineLevel="0" collapsed="false">
      <c r="A29" s="22" t="s">
        <v>294</v>
      </c>
      <c r="B29" s="22"/>
      <c r="C29" s="22"/>
      <c r="D29" s="84" t="n">
        <v>0.0751178306161765</v>
      </c>
      <c r="E29" s="39" t="s">
        <v>295</v>
      </c>
      <c r="F29" s="39"/>
      <c r="G29" s="39"/>
      <c r="H29" s="39"/>
      <c r="I29" s="39"/>
      <c r="J29" s="39"/>
    </row>
    <row r="30" customFormat="false" ht="27.75" hidden="false" customHeight="true" outlineLevel="0" collapsed="false">
      <c r="A30" s="40" t="s">
        <v>934</v>
      </c>
      <c r="B30" s="40"/>
      <c r="C30" s="40"/>
      <c r="D30" s="40"/>
      <c r="E30" s="40"/>
      <c r="F30" s="40"/>
      <c r="G30" s="40"/>
      <c r="H30" s="40"/>
      <c r="I30" s="40"/>
      <c r="J30" s="40"/>
    </row>
    <row r="31" customFormat="false" ht="15" hidden="false" customHeight="false" outlineLevel="0" collapsed="false">
      <c r="A31" s="85" t="s">
        <v>935</v>
      </c>
      <c r="B31" s="85"/>
      <c r="C31" s="85"/>
      <c r="D31" s="85"/>
      <c r="E31" s="85"/>
      <c r="F31" s="85"/>
      <c r="G31" s="85"/>
      <c r="H31" s="85"/>
      <c r="I31" s="85"/>
      <c r="J31" s="85"/>
    </row>
    <row r="33" customFormat="false" ht="15" hidden="false" customHeight="false" outlineLevel="0" collapsed="false">
      <c r="A33" s="25" t="s">
        <v>298</v>
      </c>
    </row>
    <row r="34" customFormat="false" ht="19.4" hidden="false" customHeight="true" outlineLevel="0" collapsed="false">
      <c r="A34" s="22" t="s">
        <v>299</v>
      </c>
      <c r="B34" s="22"/>
      <c r="C34" s="22"/>
      <c r="D34" s="88" t="n">
        <v>0.06</v>
      </c>
      <c r="E34" s="43" t="s">
        <v>936</v>
      </c>
      <c r="F34" s="43"/>
      <c r="G34" s="43"/>
      <c r="H34" s="43"/>
      <c r="I34" s="43"/>
      <c r="J34" s="43"/>
    </row>
    <row r="35" customFormat="false" ht="15" hidden="false" customHeight="true" outlineLevel="0" collapsed="false">
      <c r="A35" s="22" t="s">
        <v>301</v>
      </c>
      <c r="B35" s="22"/>
      <c r="C35" s="22"/>
      <c r="D35" s="34" t="s">
        <v>937</v>
      </c>
      <c r="E35" s="43" t="s">
        <v>303</v>
      </c>
      <c r="F35" s="43"/>
      <c r="G35" s="43"/>
      <c r="H35" s="43"/>
      <c r="I35" s="43"/>
      <c r="J35" s="43"/>
    </row>
    <row r="36" customFormat="false" ht="15" hidden="false" customHeight="true" outlineLevel="0" collapsed="false">
      <c r="A36" s="22" t="s">
        <v>304</v>
      </c>
      <c r="B36" s="22"/>
      <c r="C36" s="22"/>
      <c r="D36" s="44"/>
      <c r="E36" s="43" t="s">
        <v>305</v>
      </c>
      <c r="F36" s="43"/>
      <c r="G36" s="43"/>
      <c r="H36" s="43"/>
      <c r="I36" s="43"/>
      <c r="J36" s="43"/>
    </row>
    <row r="37" customFormat="false" ht="23.85" hidden="false" customHeight="true" outlineLevel="0" collapsed="false">
      <c r="A37" s="22" t="s">
        <v>306</v>
      </c>
      <c r="B37" s="22"/>
      <c r="C37" s="22"/>
      <c r="D37" s="45" t="n">
        <f aca="false">IF(OR($D$34="",E18=""),"",IF($D$34=0,"— (no % rent)",E18/$D$34))</f>
        <v>1600000</v>
      </c>
      <c r="E37" s="43" t="s">
        <v>307</v>
      </c>
      <c r="F37" s="43"/>
      <c r="G37" s="43"/>
      <c r="H37" s="43"/>
      <c r="I37" s="43"/>
      <c r="J37" s="43"/>
    </row>
    <row r="38" customFormat="false" ht="23.85" hidden="false" customHeight="true" outlineLevel="0" collapsed="false">
      <c r="A38" s="22" t="s">
        <v>308</v>
      </c>
      <c r="B38" s="22"/>
      <c r="C38" s="22"/>
      <c r="D38" s="45" t="n">
        <f aca="false">IF($D$34="","",IF($D$34=0,"— (no % rent)",IF($D$36&lt;&gt;"",$D$36,IF(E18="","",E18/$D$34))))</f>
        <v>1600000</v>
      </c>
      <c r="E38" s="36"/>
      <c r="F38" s="36"/>
      <c r="G38" s="36"/>
      <c r="H38" s="36"/>
      <c r="I38" s="36"/>
      <c r="J38" s="36"/>
    </row>
    <row r="39" customFormat="false" ht="15" hidden="false" customHeight="true" outlineLevel="0" collapsed="false">
      <c r="A39" s="22" t="s">
        <v>309</v>
      </c>
      <c r="B39" s="22"/>
      <c r="C39" s="22"/>
      <c r="D39" s="45" t="n">
        <f aca="false">IF(OR($D$34="",D13=""),"",IF($D$34=0,0,IF($D$38="","",MAX(0,D13-$D$38)*$D$34)))</f>
        <v>26400.4038</v>
      </c>
      <c r="E39" s="36"/>
      <c r="F39" s="36"/>
      <c r="G39" s="36"/>
      <c r="H39" s="36"/>
      <c r="I39" s="36"/>
      <c r="J39" s="36"/>
    </row>
    <row r="40" customFormat="false" ht="15" hidden="false" customHeight="true" outlineLevel="0" collapsed="false">
      <c r="A40" s="22" t="s">
        <v>310</v>
      </c>
      <c r="B40" s="22"/>
      <c r="C40" s="22"/>
      <c r="D40" s="45" t="n">
        <f aca="false">IF(OR(D39="",E18=""),"",E18+D39)</f>
        <v>122400.4038</v>
      </c>
      <c r="E40" s="36"/>
      <c r="F40" s="36"/>
      <c r="G40" s="36"/>
      <c r="H40" s="36"/>
      <c r="I40" s="36"/>
      <c r="J40" s="36"/>
    </row>
    <row r="41" customFormat="false" ht="19.4" hidden="false" customHeight="true" outlineLevel="0" collapsed="false">
      <c r="A41" s="22" t="s">
        <v>311</v>
      </c>
      <c r="B41" s="22"/>
      <c r="C41" s="22"/>
      <c r="D41" s="46" t="n">
        <f aca="false">IF(OR(D40="",D13=""),"",D40/D13)</f>
        <v>0.06</v>
      </c>
      <c r="E41" s="43" t="s">
        <v>938</v>
      </c>
      <c r="F41" s="43"/>
      <c r="G41" s="43"/>
      <c r="H41" s="43"/>
      <c r="I41" s="43"/>
      <c r="J41" s="43"/>
    </row>
    <row r="43" customFormat="false" ht="15" hidden="false" customHeight="false" outlineLevel="0" collapsed="false">
      <c r="A43" s="25" t="s">
        <v>312</v>
      </c>
    </row>
    <row r="44" customFormat="false" ht="22.35" hidden="false" customHeight="false" outlineLevel="0" collapsed="false">
      <c r="A44" s="26" t="s">
        <v>313</v>
      </c>
      <c r="B44" s="26" t="s">
        <v>314</v>
      </c>
      <c r="C44" s="26" t="s">
        <v>315</v>
      </c>
      <c r="D44" s="26" t="s">
        <v>316</v>
      </c>
      <c r="E44" s="26" t="s">
        <v>317</v>
      </c>
      <c r="F44" s="26" t="s">
        <v>318</v>
      </c>
      <c r="G44" s="26" t="s">
        <v>319</v>
      </c>
      <c r="H44" s="26" t="s">
        <v>269</v>
      </c>
      <c r="I44" s="26" t="s">
        <v>320</v>
      </c>
      <c r="J44" s="26" t="s">
        <v>321</v>
      </c>
    </row>
    <row r="45" customFormat="false" ht="22.35" hidden="false" customHeight="false" outlineLevel="0" collapsed="false">
      <c r="A45" s="47" t="s">
        <v>185</v>
      </c>
      <c r="B45" s="47" t="s">
        <v>939</v>
      </c>
      <c r="C45" s="47" t="s">
        <v>488</v>
      </c>
      <c r="D45" s="47" t="s">
        <v>940</v>
      </c>
      <c r="E45" s="48"/>
      <c r="F45" s="47" t="s">
        <v>941</v>
      </c>
      <c r="G45" s="47" t="s">
        <v>327</v>
      </c>
      <c r="H45" s="49" t="n">
        <v>284950</v>
      </c>
      <c r="I45" s="47" t="s">
        <v>334</v>
      </c>
      <c r="J45" s="47" t="s">
        <v>942</v>
      </c>
    </row>
    <row r="46" customFormat="false" ht="22.35" hidden="false" customHeight="false" outlineLevel="0" collapsed="false">
      <c r="A46" s="47" t="s">
        <v>943</v>
      </c>
      <c r="B46" s="47" t="s">
        <v>944</v>
      </c>
      <c r="C46" s="47" t="s">
        <v>338</v>
      </c>
      <c r="D46" s="47" t="s">
        <v>339</v>
      </c>
      <c r="E46" s="48"/>
      <c r="F46" s="47" t="s">
        <v>945</v>
      </c>
      <c r="G46" s="47" t="s">
        <v>327</v>
      </c>
      <c r="H46" s="49" t="n">
        <v>300000</v>
      </c>
      <c r="I46" s="51" t="s">
        <v>342</v>
      </c>
      <c r="J46" s="47" t="s">
        <v>645</v>
      </c>
    </row>
    <row r="47" customFormat="false" ht="15" hidden="false" customHeight="false" outlineLevel="0" collapsed="false">
      <c r="A47" s="52" t="s">
        <v>344</v>
      </c>
      <c r="B47" s="52"/>
      <c r="C47" s="52"/>
      <c r="D47" s="52"/>
      <c r="E47" s="52"/>
      <c r="F47" s="52"/>
      <c r="G47" s="52"/>
      <c r="H47" s="53" t="n">
        <f aca="false">IF(COUNT(H45:H46)=0,"",AVERAGE(H45:H46))</f>
        <v>292475</v>
      </c>
      <c r="I47" s="52" t="str">
        <f aca="false">IF(COUNT(H45:H46)=0,"",TEXT(MIN(H45:H46),"$#,##0")&amp;" – "&amp;TEXT(MAX(H45:H46),"$#,##0"))</f>
        <v>$284,950 – $300,000</v>
      </c>
      <c r="J47" s="36"/>
    </row>
    <row r="49" customFormat="false" ht="15" hidden="false" customHeight="false" outlineLevel="0" collapsed="false">
      <c r="A49" s="25" t="s">
        <v>345</v>
      </c>
    </row>
    <row r="50" customFormat="false" ht="53.7" hidden="false" customHeight="true" outlineLevel="0" collapsed="false">
      <c r="A50" s="26" t="s">
        <v>346</v>
      </c>
      <c r="B50" s="26"/>
      <c r="C50" s="26"/>
      <c r="D50" s="26" t="s">
        <v>347</v>
      </c>
      <c r="E50" s="26" t="s">
        <v>348</v>
      </c>
      <c r="F50" s="26" t="s">
        <v>349</v>
      </c>
      <c r="G50" s="26" t="s">
        <v>350</v>
      </c>
      <c r="H50" s="54" t="s">
        <v>351</v>
      </c>
    </row>
    <row r="51" customFormat="false" ht="68.65" hidden="false" customHeight="true" outlineLevel="0" collapsed="false">
      <c r="A51" s="22" t="s">
        <v>352</v>
      </c>
      <c r="B51" s="22"/>
      <c r="C51" s="22"/>
      <c r="D51" s="55" t="s">
        <v>353</v>
      </c>
      <c r="E51" s="56"/>
      <c r="F51" s="56"/>
      <c r="G51" s="56"/>
      <c r="H51" s="56"/>
    </row>
    <row r="52" customFormat="false" ht="15" hidden="false" customHeight="true" outlineLevel="0" collapsed="false">
      <c r="A52" s="22" t="s">
        <v>354</v>
      </c>
      <c r="B52" s="22"/>
      <c r="C52" s="22"/>
      <c r="D52" s="57" t="n">
        <v>96000</v>
      </c>
      <c r="E52" s="57"/>
      <c r="F52" s="57"/>
      <c r="G52" s="57"/>
      <c r="H52" s="57"/>
    </row>
    <row r="53" customFormat="false" ht="15" hidden="false" customHeight="true" outlineLevel="0" collapsed="false">
      <c r="A53" s="22" t="s">
        <v>355</v>
      </c>
      <c r="B53" s="22"/>
      <c r="C53" s="22"/>
      <c r="D53" s="82" t="n">
        <v>0.02</v>
      </c>
      <c r="E53" s="58"/>
      <c r="F53" s="58"/>
      <c r="G53" s="58"/>
      <c r="H53" s="58"/>
    </row>
    <row r="54" customFormat="false" ht="15" hidden="false" customHeight="true" outlineLevel="0" collapsed="false">
      <c r="A54" s="22" t="s">
        <v>356</v>
      </c>
      <c r="B54" s="22"/>
      <c r="C54" s="22"/>
      <c r="D54" s="56" t="n">
        <v>5</v>
      </c>
      <c r="E54" s="56"/>
      <c r="F54" s="56"/>
      <c r="G54" s="56"/>
      <c r="H54" s="56"/>
    </row>
    <row r="55" customFormat="false" ht="15" hidden="false" customHeight="true" outlineLevel="0" collapsed="false">
      <c r="A55" s="22" t="s">
        <v>357</v>
      </c>
      <c r="B55" s="22"/>
      <c r="C55" s="22"/>
      <c r="D55" s="59" t="n">
        <v>20</v>
      </c>
      <c r="E55" s="59"/>
      <c r="F55" s="59"/>
      <c r="G55" s="59"/>
      <c r="H55" s="59"/>
    </row>
    <row r="56" customFormat="false" ht="15" hidden="false" customHeight="true" outlineLevel="0" collapsed="false">
      <c r="A56" s="22" t="s">
        <v>358</v>
      </c>
      <c r="B56" s="22"/>
      <c r="C56" s="22"/>
      <c r="D56" s="60" t="n">
        <f aca="false">IF(OR(D52="",E18=""),"",D52-E18)</f>
        <v>0</v>
      </c>
      <c r="E56" s="60" t="str">
        <f aca="false">IF(OR(E52="",E18=""),"",E52-E18)</f>
        <v/>
      </c>
      <c r="F56" s="60" t="str">
        <f aca="false">IF(OR(F52="",E18=""),"",F52-E18)</f>
        <v/>
      </c>
      <c r="G56" s="60" t="str">
        <f aca="false">IF(OR(G52="",E18=""),"",G52-E18)</f>
        <v/>
      </c>
      <c r="H56" s="60" t="str">
        <f aca="false">IF(OR(H52="",E18=""),"",H52-E18)</f>
        <v/>
      </c>
    </row>
    <row r="57" customFormat="false" ht="15" hidden="false" customHeight="true" outlineLevel="0" collapsed="false">
      <c r="A57" s="22" t="s">
        <v>359</v>
      </c>
      <c r="B57" s="22"/>
      <c r="C57" s="22"/>
      <c r="D57" s="61" t="n">
        <f aca="false">IF(OR(D52="",E18=""),"",(D52-E18)/E18)</f>
        <v>0</v>
      </c>
      <c r="E57" s="61" t="str">
        <f aca="false">IF(OR(E52="",E18=""),"",(E52-E18)/E18)</f>
        <v/>
      </c>
      <c r="F57" s="61" t="str">
        <f aca="false">IF(OR(F52="",E18=""),"",(F52-E18)/E18)</f>
        <v/>
      </c>
      <c r="G57" s="61" t="str">
        <f aca="false">IF(OR(G52="",E18=""),"",(G52-E18)/E18)</f>
        <v/>
      </c>
      <c r="H57" s="61" t="str">
        <f aca="false">IF(OR(H52="",E18=""),"",(H52-E18)/E18)</f>
        <v/>
      </c>
    </row>
    <row r="58" customFormat="false" ht="15" hidden="false" customHeight="true" outlineLevel="0" collapsed="false">
      <c r="A58" s="22" t="s">
        <v>360</v>
      </c>
      <c r="B58" s="22"/>
      <c r="C58" s="22"/>
      <c r="D58" s="62" t="n">
        <f aca="false">IF(OR(D52="",D13=""),"",D52/D13)</f>
        <v>0.0470586682819424</v>
      </c>
      <c r="E58" s="62" t="str">
        <f aca="false">IF(OR(E52="",D13=""),"",E52/D13)</f>
        <v/>
      </c>
      <c r="F58" s="62" t="str">
        <f aca="false">IF(OR(F52="",D13=""),"",F52/D13)</f>
        <v/>
      </c>
      <c r="G58" s="62" t="str">
        <f aca="false">IF(OR(G52="",D13=""),"",G52/D13)</f>
        <v/>
      </c>
      <c r="H58" s="62" t="str">
        <f aca="false">IF(OR(H52="",D13=""),"",H52/D13)</f>
        <v/>
      </c>
    </row>
    <row r="59" customFormat="false" ht="15" hidden="false" customHeight="true" outlineLevel="0" collapsed="false">
      <c r="A59" s="22" t="s">
        <v>361</v>
      </c>
      <c r="B59" s="22"/>
      <c r="C59" s="22"/>
      <c r="D59" s="61" t="n">
        <f aca="false">IF(OR(D52="",H47=""),"",(D52-H47)/H47)</f>
        <v>-0.671766817676725</v>
      </c>
      <c r="E59" s="61" t="str">
        <f aca="false">IF(OR(E52="",H47=""),"",(E52-H47)/H47)</f>
        <v/>
      </c>
      <c r="F59" s="61" t="str">
        <f aca="false">IF(OR(F52="",H47=""),"",(F52-H47)/H47)</f>
        <v/>
      </c>
      <c r="G59" s="61" t="str">
        <f aca="false">IF(OR(G52="",H47=""),"",(G52-H47)/H47)</f>
        <v/>
      </c>
      <c r="H59" s="61" t="str">
        <f aca="false">IF(OR(H52="",H47=""),"",(H52-H47)/H47)</f>
        <v/>
      </c>
    </row>
    <row r="60" customFormat="false" ht="15" hidden="false" customHeight="true" outlineLevel="0" collapsed="false">
      <c r="A60" s="22" t="s">
        <v>362</v>
      </c>
      <c r="B60" s="22"/>
      <c r="C60" s="22"/>
      <c r="D60" s="63" t="n">
        <f aca="true">IF(D52="","",SUMPRODUCT(D52*(1+IF(D53="",0,D53))^ROUNDDOWN((ROW(INDIRECT("1:10"))-1)/IF(D54="",5,D54),0)))</f>
        <v>969600</v>
      </c>
      <c r="E60" s="63" t="str">
        <f aca="true">IF(E52="","",SUMPRODUCT(E52*(1+IF(E53="",0,E53))^ROUNDDOWN((ROW(INDIRECT("1:10"))-1)/IF(E54="",5,E54),0)))</f>
        <v/>
      </c>
      <c r="F60" s="63" t="str">
        <f aca="true">IF(F52="","",SUMPRODUCT(F52*(1+IF(F53="",0,F53))^ROUNDDOWN((ROW(INDIRECT("1:10"))-1)/IF(F54="",5,F54),0)))</f>
        <v/>
      </c>
      <c r="G60" s="63" t="str">
        <f aca="true">IF(G52="","",SUMPRODUCT(G52*(1+IF(G53="",0,G53))^ROUNDDOWN((ROW(INDIRECT("1:10"))-1)/IF(G54="",5,G54),0)))</f>
        <v/>
      </c>
      <c r="H60" s="63" t="str">
        <f aca="true">IF(H52="","",SUMPRODUCT(H52*(1+IF(H53="",0,H53))^ROUNDDOWN((ROW(INDIRECT("1:10"))-1)/IF(H54="",5,H54),0)))</f>
        <v/>
      </c>
    </row>
    <row r="61" customFormat="false" ht="15" hidden="false" customHeight="true" outlineLevel="0" collapsed="false">
      <c r="A61" s="22" t="s">
        <v>363</v>
      </c>
      <c r="B61" s="22"/>
      <c r="C61" s="22"/>
      <c r="D61" s="60" t="n">
        <f aca="false">IF(OR(D60="",E20=""),"",D60-E20)</f>
        <v>-192000</v>
      </c>
      <c r="E61" s="60" t="str">
        <f aca="false">IF(OR(E60="",E20=""),"",E60-E20)</f>
        <v/>
      </c>
      <c r="F61" s="60" t="str">
        <f aca="false">IF(OR(F60="",E20=""),"",F60-E20)</f>
        <v/>
      </c>
      <c r="G61" s="60" t="str">
        <f aca="false">IF(OR(G60="",E20=""),"",G60-E20)</f>
        <v/>
      </c>
      <c r="H61" s="60" t="str">
        <f aca="false">IF(OR(H60="",E20=""),"",H60-E20)</f>
        <v/>
      </c>
    </row>
    <row r="62" customFormat="false" ht="23.85" hidden="false" customHeight="true" outlineLevel="0" collapsed="false">
      <c r="A62" s="22" t="s">
        <v>364</v>
      </c>
      <c r="B62" s="22"/>
      <c r="C62" s="22"/>
      <c r="D62" s="58"/>
      <c r="E62" s="58"/>
      <c r="F62" s="58"/>
      <c r="G62" s="58"/>
      <c r="H62" s="58"/>
    </row>
    <row r="63" customFormat="false" ht="23.85" hidden="false" customHeight="true" outlineLevel="0" collapsed="false">
      <c r="A63" s="22" t="s">
        <v>365</v>
      </c>
      <c r="B63" s="22"/>
      <c r="C63" s="22"/>
      <c r="D63" s="57"/>
      <c r="E63" s="57"/>
      <c r="F63" s="57"/>
      <c r="G63" s="57"/>
      <c r="H63" s="57"/>
    </row>
    <row r="64" customFormat="false" ht="15" hidden="false" customHeight="true" outlineLevel="0" collapsed="false">
      <c r="A64" s="22" t="s">
        <v>366</v>
      </c>
      <c r="B64" s="22"/>
      <c r="C64" s="22"/>
      <c r="D64" s="63" t="n">
        <f aca="false">IF(OR(D52="",AND(D62="",$D$34="")),"",IF(IF(D62="",IF($D$34="",0,$D$34),D62)=0,"— (% rent removed)",IF(D63&lt;&gt;"",D63,IF($D$36&lt;&gt;"",$D$36,D52/IF(D62="",IF($D$34="",0,$D$34),D62)))))</f>
        <v>1600000</v>
      </c>
      <c r="E64" s="63" t="str">
        <f aca="false">IF(OR(E52="",AND(E62="",$D$34="")),"",IF(IF(E62="",IF($D$34="",0,$D$34),E62)=0,"— (% rent removed)",IF(E63&lt;&gt;"",E63,IF($D$36&lt;&gt;"",$D$36,E52/IF(E62="",IF($D$34="",0,$D$34),E62)))))</f>
        <v/>
      </c>
      <c r="F64" s="63" t="str">
        <f aca="false">IF(OR(F52="",AND(F62="",$D$34="")),"",IF(IF(F62="",IF($D$34="",0,$D$34),F62)=0,"— (% rent removed)",IF(F63&lt;&gt;"",F63,IF($D$36&lt;&gt;"",$D$36,F52/IF(F62="",IF($D$34="",0,$D$34),F62)))))</f>
        <v/>
      </c>
      <c r="G64" s="63" t="str">
        <f aca="false">IF(OR(G52="",AND(G62="",$D$34="")),"",IF(IF(G62="",IF($D$34="",0,$D$34),G62)=0,"— (% rent removed)",IF(G63&lt;&gt;"",G63,IF($D$36&lt;&gt;"",$D$36,G52/IF(G62="",IF($D$34="",0,$D$34),G62)))))</f>
        <v/>
      </c>
      <c r="H64" s="63" t="str">
        <f aca="false">IF(OR(H52="",AND(H62="",$D$34="")),"",IF(IF(H62="",IF($D$34="",0,$D$34),H62)=0,"— (% rent removed)",IF(H63&lt;&gt;"",H63,IF($D$36&lt;&gt;"",$D$36,H52/IF(H62="",IF($D$34="",0,$D$34),H62)))))</f>
        <v/>
      </c>
    </row>
    <row r="65" customFormat="false" ht="15" hidden="false" customHeight="true" outlineLevel="0" collapsed="false">
      <c r="A65" s="22" t="s">
        <v>367</v>
      </c>
      <c r="B65" s="22"/>
      <c r="C65" s="22"/>
      <c r="D65" s="63" t="n">
        <f aca="false">IF(OR(D52="",AND(D62="",$D$34=""),D13=""),"",IF(IF(D62="",IF($D$34="",0,$D$34),D62)=0,0,MAX(0,D13-D64)*IF(D62="",IF($D$34="",0,$D$34),D62)))</f>
        <v>26400.4038</v>
      </c>
      <c r="E65" s="63" t="str">
        <f aca="false">IF(OR(E52="",AND(E62="",$D$34=""),D13=""),"",IF(IF(E62="",IF($D$34="",0,$D$34),E62)=0,0,MAX(0,D13-E64)*IF(E62="",IF($D$34="",0,$D$34),E62)))</f>
        <v/>
      </c>
      <c r="F65" s="63" t="str">
        <f aca="false">IF(OR(F52="",AND(F62="",$D$34=""),D13=""),"",IF(IF(F62="",IF($D$34="",0,$D$34),F62)=0,0,MAX(0,D13-F64)*IF(F62="",IF($D$34="",0,$D$34),F62)))</f>
        <v/>
      </c>
      <c r="G65" s="63" t="str">
        <f aca="false">IF(OR(G52="",AND(G62="",$D$34=""),D13=""),"",IF(IF(G62="",IF($D$34="",0,$D$34),G62)=0,0,MAX(0,D13-G64)*IF(G62="",IF($D$34="",0,$D$34),G62)))</f>
        <v/>
      </c>
      <c r="H65" s="63" t="str">
        <f aca="false">IF(OR(H52="",AND(H62="",$D$34=""),D13=""),"",IF(IF(H62="",IF($D$34="",0,$D$34),H62)=0,0,MAX(0,D13-H64)*IF(H62="",IF($D$34="",0,$D$34),H62)))</f>
        <v/>
      </c>
    </row>
    <row r="66" customFormat="false" ht="15" hidden="false" customHeight="true" outlineLevel="0" collapsed="false">
      <c r="A66" s="22" t="s">
        <v>368</v>
      </c>
      <c r="B66" s="22"/>
      <c r="C66" s="22"/>
      <c r="D66" s="63" t="n">
        <f aca="false">IF(OR(D52="",D65=""),"",D52+D65)</f>
        <v>122400.4038</v>
      </c>
      <c r="E66" s="63" t="str">
        <f aca="false">IF(OR(E52="",E65=""),"",E52+E65)</f>
        <v/>
      </c>
      <c r="F66" s="63" t="str">
        <f aca="false">IF(OR(F52="",F65=""),"",F52+F65)</f>
        <v/>
      </c>
      <c r="G66" s="63" t="str">
        <f aca="false">IF(OR(G52="",G65=""),"",G52+G65)</f>
        <v/>
      </c>
      <c r="H66" s="63" t="str">
        <f aca="false">IF(OR(H52="",H65=""),"",H52+H65)</f>
        <v/>
      </c>
    </row>
    <row r="67" customFormat="false" ht="15" hidden="false" customHeight="true" outlineLevel="0" collapsed="false">
      <c r="A67" s="22" t="s">
        <v>369</v>
      </c>
      <c r="B67" s="22"/>
      <c r="C67" s="22"/>
      <c r="D67" s="62" t="n">
        <f aca="false">IF(OR(D66="",D13=""),"",D66/D13)</f>
        <v>0.06</v>
      </c>
      <c r="E67" s="62" t="str">
        <f aca="false">IF(OR(E66="",D13=""),"",E66/D13)</f>
        <v/>
      </c>
      <c r="F67" s="62" t="str">
        <f aca="false">IF(OR(F66="",D13=""),"",F66/D13)</f>
        <v/>
      </c>
      <c r="G67" s="62" t="str">
        <f aca="false">IF(OR(G66="",D13=""),"",G66/D13)</f>
        <v/>
      </c>
      <c r="H67" s="62" t="str">
        <f aca="false">IF(OR(H66="",D13=""),"",H66/D13)</f>
        <v/>
      </c>
    </row>
    <row r="68" customFormat="false" ht="23.85" hidden="false" customHeight="true" outlineLevel="0" collapsed="false">
      <c r="A68" s="22" t="s">
        <v>370</v>
      </c>
      <c r="B68" s="22"/>
      <c r="C68" s="22"/>
      <c r="D68" s="64" t="n">
        <f aca="false">IF(D66="","",(497985.64-D66)/2040006.73)</f>
        <v>0.184109802520112</v>
      </c>
      <c r="E68" s="64" t="str">
        <f aca="false">IF(E66="","",(497985.64-E66)/2040006.73)</f>
        <v/>
      </c>
      <c r="F68" s="64" t="str">
        <f aca="false">IF(F66="","",(497985.64-F66)/2040006.73)</f>
        <v/>
      </c>
      <c r="G68" s="64" t="str">
        <f aca="false">IF(G66="","",(497985.64-G66)/2040006.73)</f>
        <v/>
      </c>
      <c r="H68" s="64" t="str">
        <f aca="false">IF(H66="","",(497985.64-H66)/2040006.73)</f>
        <v/>
      </c>
    </row>
    <row r="69" customFormat="false" ht="15" hidden="false" customHeight="true" outlineLevel="0" collapsed="false">
      <c r="A69" s="22" t="s">
        <v>371</v>
      </c>
      <c r="B69" s="22"/>
      <c r="C69" s="22"/>
      <c r="D69" s="63" t="n">
        <f aca="true">IF(OR(D52="",AND(D62="",$D$34=""),D13=""),"",IF(IF(D62="",IF($D$34="",0,$D$34),D62)=0,0,SUMPRODUCT(((D13*1.02^(ROW(INDIRECT("1:10"))-1))-(IF(D63&lt;&gt;"",D63,IF($D$36&lt;&gt;"",$D$36,(D52*(1+IF(D53="",0,D53))^ROUNDDOWN((ROW(INDIRECT("1:10"))-1)/IF(D54="",5,D54),0))/IF(D62="",IF($D$34="",0,$D$34),D62))))&gt;0)*((D13*1.02^(ROW(INDIRECT("1:10"))-1))-(IF(D63&lt;&gt;"",D63,IF($D$36&lt;&gt;"",$D$36,(D52*(1+IF(D53="",0,D53))^ROUNDDOWN((ROW(INDIRECT("1:10"))-1)/IF(D54="",5,D54),0))/IF(D62="",IF($D$34="",0,$D$34),D62))))))*IF(D62="",IF($D$34="",0,$D$34),D62)))</f>
        <v>370650.271865253</v>
      </c>
      <c r="E69" s="63" t="str">
        <f aca="true">IF(OR(E52="",AND(E62="",$D$34=""),D13=""),"",IF(IF(E62="",IF($D$34="",0,$D$34),E62)=0,0,SUMPRODUCT(((D13*1.02^(ROW(INDIRECT("1:10"))-1))-(IF(E63&lt;&gt;"",E63,IF($D$36&lt;&gt;"",$D$36,(E52*(1+IF(E53="",0,E53))^ROUNDDOWN((ROW(INDIRECT("1:10"))-1)/IF(E54="",5,E54),0))/IF(E62="",IF($D$34="",0,$D$34),E62))))&gt;0)*((D13*1.02^(ROW(INDIRECT("1:10"))-1))-(IF(E63&lt;&gt;"",E63,IF($D$36&lt;&gt;"",$D$36,(E52*(1+IF(E53="",0,E53))^ROUNDDOWN((ROW(INDIRECT("1:10"))-1)/IF(E54="",5,E54),0))/IF(E62="",IF($D$34="",0,$D$34),E62))))))*IF(E62="",IF($D$34="",0,$D$34),E62)))</f>
        <v/>
      </c>
      <c r="F69" s="63" t="str">
        <f aca="true">IF(OR(F52="",AND(F62="",$D$34=""),D13=""),"",IF(IF(F62="",IF($D$34="",0,$D$34),F62)=0,0,SUMPRODUCT(((D13*1.02^(ROW(INDIRECT("1:10"))-1))-(IF(F63&lt;&gt;"",F63,IF($D$36&lt;&gt;"",$D$36,(F52*(1+IF(F53="",0,F53))^ROUNDDOWN((ROW(INDIRECT("1:10"))-1)/IF(F54="",5,F54),0))/IF(F62="",IF($D$34="",0,$D$34),F62))))&gt;0)*((D13*1.02^(ROW(INDIRECT("1:10"))-1))-(IF(F63&lt;&gt;"",F63,IF($D$36&lt;&gt;"",$D$36,(F52*(1+IF(F53="",0,F53))^ROUNDDOWN((ROW(INDIRECT("1:10"))-1)/IF(F54="",5,F54),0))/IF(F62="",IF($D$34="",0,$D$34),F62))))))*IF(F62="",IF($D$34="",0,$D$34),F62)))</f>
        <v/>
      </c>
      <c r="G69" s="63" t="str">
        <f aca="true">IF(OR(G52="",AND(G62="",$D$34=""),D13=""),"",IF(IF(G62="",IF($D$34="",0,$D$34),G62)=0,0,SUMPRODUCT(((D13*1.02^(ROW(INDIRECT("1:10"))-1))-(IF(G63&lt;&gt;"",G63,IF($D$36&lt;&gt;"",$D$36,(G52*(1+IF(G53="",0,G53))^ROUNDDOWN((ROW(INDIRECT("1:10"))-1)/IF(G54="",5,G54),0))/IF(G62="",IF($D$34="",0,$D$34),G62))))&gt;0)*((D13*1.02^(ROW(INDIRECT("1:10"))-1))-(IF(G63&lt;&gt;"",G63,IF($D$36&lt;&gt;"",$D$36,(G52*(1+IF(G53="",0,G53))^ROUNDDOWN((ROW(INDIRECT("1:10"))-1)/IF(G54="",5,G54),0))/IF(G62="",IF($D$34="",0,$D$34),G62))))))*IF(G62="",IF($D$34="",0,$D$34),G62)))</f>
        <v/>
      </c>
      <c r="H69" s="63" t="str">
        <f aca="true">IF(OR(H52="",AND(H62="",$D$34=""),D13=""),"",IF(IF(H62="",IF($D$34="",0,$D$34),H62)=0,0,SUMPRODUCT(((D13*1.02^(ROW(INDIRECT("1:10"))-1))-(IF(H63&lt;&gt;"",H63,IF($D$36&lt;&gt;"",$D$36,(H52*(1+IF(H53="",0,H53))^ROUNDDOWN((ROW(INDIRECT("1:10"))-1)/IF(H54="",5,H54),0))/IF(H62="",IF($D$34="",0,$D$34),H62))))&gt;0)*((D13*1.02^(ROW(INDIRECT("1:10"))-1))-(IF(H63&lt;&gt;"",H63,IF($D$36&lt;&gt;"",$D$36,(H52*(1+IF(H53="",0,H53))^ROUNDDOWN((ROW(INDIRECT("1:10"))-1)/IF(H54="",5,H54),0))/IF(H62="",IF($D$34="",0,$D$34),H62))))))*IF(H62="",IF($D$34="",0,$D$34),H62)))</f>
        <v/>
      </c>
    </row>
    <row r="70" customFormat="false" ht="15" hidden="false" customHeight="true" outlineLevel="0" collapsed="false">
      <c r="A70" s="22" t="s">
        <v>372</v>
      </c>
      <c r="B70" s="22"/>
      <c r="C70" s="22"/>
      <c r="D70" s="63" t="n">
        <f aca="false">IF(OR(D60="",D69=""),"",D60+D69)</f>
        <v>1340250.27186525</v>
      </c>
      <c r="E70" s="63" t="str">
        <f aca="false">IF(OR(E60="",E69=""),"",E60+E69)</f>
        <v/>
      </c>
      <c r="F70" s="63" t="str">
        <f aca="false">IF(OR(F60="",F69=""),"",F60+F69)</f>
        <v/>
      </c>
      <c r="G70" s="63" t="str">
        <f aca="false">IF(OR(G60="",G69=""),"",G60+G69)</f>
        <v/>
      </c>
      <c r="H70" s="63" t="str">
        <f aca="false">IF(OR(H60="",H69=""),"",H60+H69)</f>
        <v/>
      </c>
    </row>
    <row r="71" customFormat="false" ht="23.85" hidden="false" customHeight="true" outlineLevel="0" collapsed="false">
      <c r="A71" s="22" t="s">
        <v>373</v>
      </c>
      <c r="B71" s="22"/>
      <c r="C71" s="22"/>
      <c r="D71" s="65" t="n">
        <f aca="true">IF(D52="","",SUMPRODUCT(D52*(1+IF(D53="",0,D53))^ROUNDDOWN((ROW(INDIRECT("1:"&amp;IF(D55="",10,D55)))-1)/IF(D54="",5,D54),0))+IF(OR(D13="",IF(D62="",IF($D$34="",0,$D$34),D62)=0),0,SUMPRODUCT(((D13*1.02^(ROW(INDIRECT("1:"&amp;IF(D55="",10,D55)))-1))-(IF(D63&lt;&gt;"",D63,IF($D$36&lt;&gt;"",$D$36,(D52*(1+IF(D53="",0,D53))^ROUNDDOWN((ROW(INDIRECT("1:"&amp;IF(D55="",10,D55)))-1)/IF(D54="",5,D54),0))/IF(D62="",IF($D$34="",0,$D$34),D62))))&gt;0)*((D13*1.02^(ROW(INDIRECT("1:"&amp;IF(D55="",10,D55)))-1))-(IF(D63&lt;&gt;"",D63,IF($D$36&lt;&gt;"",$D$36,(D52*(1+IF(D53="",0,D53))^ROUNDDOWN((ROW(INDIRECT("1:"&amp;IF(D55="",10,D55)))-1)/IF(D54="",5,D54),0))/IF(D62="",IF($D$34="",0,$D$34),D62))))))*IF(D62="",IF($D$34="",0,$D$34),D62)))</f>
        <v>2974007.87466545</v>
      </c>
      <c r="E71" s="65" t="str">
        <f aca="true">IF(E52="","",SUMPRODUCT(E52*(1+IF(E53="",0,E53))^ROUNDDOWN((ROW(INDIRECT("1:"&amp;IF(E55="",10,E55)))-1)/IF(E54="",5,E54),0))+IF(OR(D13="",IF(E62="",IF($D$34="",0,$D$34),E62)=0),0,SUMPRODUCT(((D13*1.02^(ROW(INDIRECT("1:"&amp;IF(E55="",10,E55)))-1))-(IF(E63&lt;&gt;"",E63,IF($D$36&lt;&gt;"",$D$36,(E52*(1+IF(E53="",0,E53))^ROUNDDOWN((ROW(INDIRECT("1:"&amp;IF(E55="",10,E55)))-1)/IF(E54="",5,E54),0))/IF(E62="",IF($D$34="",0,$D$34),E62))))&gt;0)*((D13*1.02^(ROW(INDIRECT("1:"&amp;IF(E55="",10,E55)))-1))-(IF(E63&lt;&gt;"",E63,IF($D$36&lt;&gt;"",$D$36,(E52*(1+IF(E53="",0,E53))^ROUNDDOWN((ROW(INDIRECT("1:"&amp;IF(E55="",10,E55)))-1)/IF(E54="",5,E54),0))/IF(E62="",IF($D$34="",0,$D$34),E62))))))*IF(E62="",IF($D$34="",0,$D$34),E62)))</f>
        <v/>
      </c>
      <c r="F71" s="65" t="str">
        <f aca="true">IF(F52="","",SUMPRODUCT(F52*(1+IF(F53="",0,F53))^ROUNDDOWN((ROW(INDIRECT("1:"&amp;IF(F55="",10,F55)))-1)/IF(F54="",5,F54),0))+IF(OR(D13="",IF(F62="",IF($D$34="",0,$D$34),F62)=0),0,SUMPRODUCT(((D13*1.02^(ROW(INDIRECT("1:"&amp;IF(F55="",10,F55)))-1))-(IF(F63&lt;&gt;"",F63,IF($D$36&lt;&gt;"",$D$36,(F52*(1+IF(F53="",0,F53))^ROUNDDOWN((ROW(INDIRECT("1:"&amp;IF(F55="",10,F55)))-1)/IF(F54="",5,F54),0))/IF(F62="",IF($D$34="",0,$D$34),F62))))&gt;0)*((D13*1.02^(ROW(INDIRECT("1:"&amp;IF(F55="",10,F55)))-1))-(IF(F63&lt;&gt;"",F63,IF($D$36&lt;&gt;"",$D$36,(F52*(1+IF(F53="",0,F53))^ROUNDDOWN((ROW(INDIRECT("1:"&amp;IF(F55="",10,F55)))-1)/IF(F54="",5,F54),0))/IF(F62="",IF($D$34="",0,$D$34),F62))))))*IF(F62="",IF($D$34="",0,$D$34),F62)))</f>
        <v/>
      </c>
      <c r="G71" s="65" t="str">
        <f aca="true">IF(G52="","",SUMPRODUCT(G52*(1+IF(G53="",0,G53))^ROUNDDOWN((ROW(INDIRECT("1:"&amp;IF(G55="",10,G55)))-1)/IF(G54="",5,G54),0))+IF(OR(D13="",IF(G62="",IF($D$34="",0,$D$34),G62)=0),0,SUMPRODUCT(((D13*1.02^(ROW(INDIRECT("1:"&amp;IF(G55="",10,G55)))-1))-(IF(G63&lt;&gt;"",G63,IF($D$36&lt;&gt;"",$D$36,(G52*(1+IF(G53="",0,G53))^ROUNDDOWN((ROW(INDIRECT("1:"&amp;IF(G55="",10,G55)))-1)/IF(G54="",5,G54),0))/IF(G62="",IF($D$34="",0,$D$34),G62))))&gt;0)*((D13*1.02^(ROW(INDIRECT("1:"&amp;IF(G55="",10,G55)))-1))-(IF(G63&lt;&gt;"",G63,IF($D$36&lt;&gt;"",$D$36,(G52*(1+IF(G53="",0,G53))^ROUNDDOWN((ROW(INDIRECT("1:"&amp;IF(G55="",10,G55)))-1)/IF(G54="",5,G54),0))/IF(G62="",IF($D$34="",0,$D$34),G62))))))*IF(G62="",IF($D$34="",0,$D$34),G62)))</f>
        <v/>
      </c>
      <c r="H71" s="65" t="str">
        <f aca="true">IF(H52="","",SUMPRODUCT(H52*(1+IF(H53="",0,H53))^ROUNDDOWN((ROW(INDIRECT("1:"&amp;IF(H55="",10,H55)))-1)/IF(H54="",5,H54),0))+IF(OR(D13="",IF(H62="",IF($D$34="",0,$D$34),H62)=0),0,SUMPRODUCT(((D13*1.02^(ROW(INDIRECT("1:"&amp;IF(H55="",10,H55)))-1))-(IF(H63&lt;&gt;"",H63,IF($D$36&lt;&gt;"",$D$36,(H52*(1+IF(H53="",0,H53))^ROUNDDOWN((ROW(INDIRECT("1:"&amp;IF(H55="",10,H55)))-1)/IF(H54="",5,H54),0))/IF(H62="",IF($D$34="",0,$D$34),H62))))&gt;0)*((D13*1.02^(ROW(INDIRECT("1:"&amp;IF(H55="",10,H55)))-1))-(IF(H63&lt;&gt;"",H63,IF($D$36&lt;&gt;"",$D$36,(H52*(1+IF(H53="",0,H53))^ROUNDDOWN((ROW(INDIRECT("1:"&amp;IF(H55="",10,H55)))-1)/IF(H54="",5,H54),0))/IF(H62="",IF($D$34="",0,$D$34),H62))))))*IF(H62="",IF($D$34="",0,$D$34),H62)))</f>
        <v/>
      </c>
    </row>
    <row r="72" customFormat="false" ht="15" hidden="false" customHeight="true" outlineLevel="0" collapsed="false">
      <c r="A72" s="22" t="s">
        <v>374</v>
      </c>
      <c r="B72" s="22"/>
      <c r="C72" s="22"/>
      <c r="D72" s="62" t="n">
        <f aca="false">IF(D52="","",IF(D53="",0,(1+D53)^(5/IF(D54="",5,D54))-1))</f>
        <v>0.02</v>
      </c>
      <c r="E72" s="62" t="str">
        <f aca="false">IF(E52="","",IF(E53="",0,(1+E53)^(5/IF(E54="",5,E54))-1))</f>
        <v/>
      </c>
      <c r="F72" s="62" t="str">
        <f aca="false">IF(F52="","",IF(F53="",0,(1+F53)^(5/IF(F54="",5,F54))-1))</f>
        <v/>
      </c>
      <c r="G72" s="62" t="str">
        <f aca="false">IF(G52="","",IF(G53="",0,(1+G53)^(5/IF(G54="",5,G54))-1))</f>
        <v/>
      </c>
      <c r="H72" s="62" t="str">
        <f aca="false">IF(H52="","",IF(H53="",0,(1+H53)^(5/IF(H54="",5,H54))-1))</f>
        <v/>
      </c>
    </row>
    <row r="73" customFormat="false" ht="43.25" hidden="false" customHeight="true" outlineLevel="0" collapsed="false">
      <c r="A73" s="22" t="s">
        <v>375</v>
      </c>
      <c r="B73" s="22"/>
      <c r="C73" s="22"/>
      <c r="D73" s="66" t="str">
        <f aca="false">IF(D72="","",IF(D72&lt;=0,"REDUCTION / FLAT — ladder steps 1-2 (best)",IF(D72&lt;=0.08,"OK — within 8%/5-yr in-house authority (ladder step 3)","ABOVE 8%/5-yr — CEO SIGN-OFF REQUIRED (Rob 8/5/26)")))</f>
        <v>OK — within 8%/5-yr in-house authority (ladder step 3)</v>
      </c>
      <c r="E73" s="66" t="str">
        <f aca="false">IF(E72="","",IF(E72&lt;=0,"REDUCTION / FLAT — ladder steps 1-2 (best)",IF(E72&lt;=0.08,"OK — within 8%/5-yr in-house authority (ladder step 3)","ABOVE 8%/5-yr — CEO SIGN-OFF REQUIRED (Rob 8/5/26)")))</f>
        <v/>
      </c>
      <c r="F73" s="66" t="str">
        <f aca="false">IF(F72="","",IF(F72&lt;=0,"REDUCTION / FLAT — ladder steps 1-2 (best)",IF(F72&lt;=0.08,"OK — within 8%/5-yr in-house authority (ladder step 3)","ABOVE 8%/5-yr — CEO SIGN-OFF REQUIRED (Rob 8/5/26)")))</f>
        <v/>
      </c>
      <c r="G73" s="66" t="str">
        <f aca="false">IF(G72="","",IF(G72&lt;=0,"REDUCTION / FLAT — ladder steps 1-2 (best)",IF(G72&lt;=0.08,"OK — within 8%/5-yr in-house authority (ladder step 3)","ABOVE 8%/5-yr — CEO SIGN-OFF REQUIRED (Rob 8/5/26)")))</f>
        <v/>
      </c>
      <c r="H73" s="66" t="str">
        <f aca="false">IF(H72="","",IF(H72&lt;=0,"REDUCTION / FLAT — ladder steps 1-2 (best)",IF(H72&lt;=0.08,"OK — within 8%/5-yr in-house authority (ladder step 3)","ABOVE 8%/5-yr — CEO SIGN-OFF REQUIRED (Rob 8/5/26)")))</f>
        <v/>
      </c>
    </row>
    <row r="74" customFormat="false" ht="23.85" hidden="false" customHeight="true" outlineLevel="0" collapsed="false">
      <c r="A74" s="22" t="s">
        <v>376</v>
      </c>
      <c r="B74" s="22"/>
      <c r="C74" s="22"/>
      <c r="D74" s="62" t="n">
        <f aca="false">IF(OR(D52="",D13=""),"",((D52*(1+IF(D53="",0,D53))^ROUNDDOWN(9/IF(D54="",5,D54),0))+IF(IF(D62="",IF($D$34="",0,$D$34),D62)=0,0,MAX(0,D13*1.02^9-IF(D63&lt;&gt;"",D63,IF($D$36&lt;&gt;"",$D$36,(D52*(1+IF(D53="",0,D53))^ROUNDDOWN(9/IF(D54="",5,D54),0))/IF(D62="",IF($D$34="",0,$D$34),D62))))*IF(D62="",IF($D$34="",0,$D$34),D62)))/(D13*1.02^9))</f>
        <v>0.06</v>
      </c>
      <c r="E74" s="62" t="str">
        <f aca="false">IF(OR(E52="",D13=""),"",((E52*(1+IF(E53="",0,E53))^ROUNDDOWN(9/IF(E54="",5,E54),0))+IF(IF(E62="",IF($D$34="",0,$D$34),E62)=0,0,MAX(0,D13*1.02^9-IF(E63&lt;&gt;"",E63,IF($D$36&lt;&gt;"",$D$36,(E52*(1+IF(E53="",0,E53))^ROUNDDOWN(9/IF(E54="",5,E54),0))/IF(E62="",IF($D$34="",0,$D$34),E62))))*IF(E62="",IF($D$34="",0,$D$34),E62)))/(D13*1.02^9))</f>
        <v/>
      </c>
      <c r="F74" s="62" t="str">
        <f aca="false">IF(OR(F52="",D13=""),"",((F52*(1+IF(F53="",0,F53))^ROUNDDOWN(9/IF(F54="",5,F54),0))+IF(IF(F62="",IF($D$34="",0,$D$34),F62)=0,0,MAX(0,D13*1.02^9-IF(F63&lt;&gt;"",F63,IF($D$36&lt;&gt;"",$D$36,(F52*(1+IF(F53="",0,F53))^ROUNDDOWN(9/IF(F54="",5,F54),0))/IF(F62="",IF($D$34="",0,$D$34),F62))))*IF(F62="",IF($D$34="",0,$D$34),F62)))/(D13*1.02^9))</f>
        <v/>
      </c>
      <c r="G74" s="62" t="str">
        <f aca="false">IF(OR(G52="",D13=""),"",((G52*(1+IF(G53="",0,G53))^ROUNDDOWN(9/IF(G54="",5,G54),0))+IF(IF(G62="",IF($D$34="",0,$D$34),G62)=0,0,MAX(0,D13*1.02^9-IF(G63&lt;&gt;"",G63,IF($D$36&lt;&gt;"",$D$36,(G52*(1+IF(G53="",0,G53))^ROUNDDOWN(9/IF(G54="",5,G54),0))/IF(G62="",IF($D$34="",0,$D$34),G62))))*IF(G62="",IF($D$34="",0,$D$34),G62)))/(D13*1.02^9))</f>
        <v/>
      </c>
      <c r="H74" s="62" t="str">
        <f aca="false">IF(OR(H52="",D13=""),"",((H52*(1+IF(H53="",0,H53))^ROUNDDOWN(9/IF(H54="",5,H54),0))+IF(IF(H62="",IF($D$34="",0,$D$34),H62)=0,0,MAX(0,D13*1.02^9-IF(H63&lt;&gt;"",H63,IF($D$36&lt;&gt;"",$D$36,(H52*(1+IF(H53="",0,H53))^ROUNDDOWN(9/IF(H54="",5,H54),0))/IF(H62="",IF($D$34="",0,$D$34),H62))))*IF(H62="",IF($D$34="",0,$D$34),H62)))/(D13*1.02^9))</f>
        <v/>
      </c>
    </row>
    <row r="75" customFormat="false" ht="23.85" hidden="false" customHeight="true" outlineLevel="0" collapsed="false">
      <c r="A75" s="22" t="s">
        <v>377</v>
      </c>
      <c r="B75" s="22"/>
      <c r="C75" s="22"/>
      <c r="D75" s="66" t="str">
        <f aca="false">IF(OR(D74="",D67=""),"",IF(MAX(D67,D74)&gt;=0.08,"HARD STOP — occupancy at/above 8% of sales: STOP, CEO sign-off before responding",IF(MAX(D67,D74)&gt;0.07,"Above Kim 7% alert — approaching 8% hard stop","OK — under 7% alert")))</f>
        <v>OK — under 7% alert</v>
      </c>
      <c r="E75" s="66" t="str">
        <f aca="false">IF(OR(E74="",E67=""),"",IF(MAX(E67,E74)&gt;=0.08,"HARD STOP — occupancy at/above 8% of sales: STOP, CEO sign-off before responding",IF(MAX(E67,E74)&gt;0.07,"Above Kim 7% alert — approaching 8% hard stop","OK — under 7% alert")))</f>
        <v/>
      </c>
      <c r="F75" s="66" t="str">
        <f aca="false">IF(OR(F74="",F67=""),"",IF(MAX(F67,F74)&gt;=0.08,"HARD STOP — occupancy at/above 8% of sales: STOP, CEO sign-off before responding",IF(MAX(F67,F74)&gt;0.07,"Above Kim 7% alert — approaching 8% hard stop","OK — under 7% alert")))</f>
        <v/>
      </c>
      <c r="G75" s="66" t="str">
        <f aca="false">IF(OR(G74="",G67=""),"",IF(MAX(G67,G74)&gt;=0.08,"HARD STOP — occupancy at/above 8% of sales: STOP, CEO sign-off before responding",IF(MAX(G67,G74)&gt;0.07,"Above Kim 7% alert — approaching 8% hard stop","OK — under 7% alert")))</f>
        <v/>
      </c>
      <c r="H75" s="66" t="str">
        <f aca="false">IF(OR(H74="",H67=""),"",IF(MAX(H67,H74)&gt;=0.08,"HARD STOP — occupancy at/above 8% of sales: STOP, CEO sign-off before responding",IF(MAX(H67,H74)&gt;0.07,"Above Kim 7% alert — approaching 8% hard stop","OK — under 7% alert")))</f>
        <v/>
      </c>
    </row>
    <row r="77" customFormat="false" ht="22.35" hidden="false" customHeight="true" outlineLevel="0" collapsed="false">
      <c r="A77" s="67" t="s">
        <v>466</v>
      </c>
      <c r="B77" s="67"/>
      <c r="C77" s="67"/>
      <c r="D77" s="67"/>
      <c r="E77" s="67"/>
      <c r="F77" s="67"/>
      <c r="G77" s="67"/>
      <c r="H77" s="67"/>
      <c r="I77" s="67"/>
      <c r="J77" s="67"/>
    </row>
    <row r="78" customFormat="false" ht="22.35" hidden="false" customHeight="true" outlineLevel="0" collapsed="false">
      <c r="A78" s="68" t="s">
        <v>379</v>
      </c>
      <c r="B78" s="68"/>
      <c r="C78" s="68"/>
      <c r="D78" s="68"/>
      <c r="E78" s="68"/>
      <c r="F78" s="68"/>
      <c r="G78" s="68"/>
      <c r="H78" s="68"/>
      <c r="I78" s="68"/>
      <c r="J78" s="68"/>
    </row>
    <row r="80" customFormat="false" ht="15" hidden="false" customHeight="false" outlineLevel="0" collapsed="false">
      <c r="A80" s="69" t="s">
        <v>380</v>
      </c>
      <c r="B80" s="69"/>
      <c r="C80" s="69"/>
      <c r="D80" s="69"/>
      <c r="E80" s="69"/>
      <c r="F80" s="69"/>
      <c r="G80" s="69"/>
      <c r="H80" s="69"/>
      <c r="I80" s="69"/>
      <c r="J80" s="69"/>
    </row>
    <row r="83" customFormat="false" ht="15" hidden="false" customHeight="false" outlineLevel="0" collapsed="false">
      <c r="A83" s="25" t="s">
        <v>381</v>
      </c>
    </row>
    <row r="84" customFormat="false" ht="15" hidden="false" customHeight="false" outlineLevel="0" collapsed="false">
      <c r="A84" s="69" t="s">
        <v>382</v>
      </c>
      <c r="B84" s="69"/>
      <c r="C84" s="69"/>
      <c r="D84" s="69"/>
      <c r="E84" s="69"/>
      <c r="F84" s="69"/>
      <c r="G84" s="69"/>
      <c r="H84" s="69"/>
      <c r="I84" s="69"/>
      <c r="J84" s="69"/>
      <c r="K84" s="69"/>
      <c r="L84" s="69"/>
      <c r="M84" s="69"/>
      <c r="N84" s="69"/>
      <c r="O84" s="69"/>
      <c r="P84" s="69"/>
      <c r="Q84" s="69"/>
      <c r="R84" s="69"/>
      <c r="S84" s="69"/>
      <c r="T84" s="69"/>
    </row>
    <row r="85" customFormat="false" ht="15" hidden="false" customHeight="true" outlineLevel="0" collapsed="false">
      <c r="A85" s="70" t="s">
        <v>383</v>
      </c>
      <c r="B85" s="70" t="s">
        <v>384</v>
      </c>
      <c r="C85" s="71" t="s">
        <v>385</v>
      </c>
      <c r="D85" s="71"/>
      <c r="E85" s="71"/>
      <c r="F85" s="71" t="s">
        <v>386</v>
      </c>
      <c r="G85" s="71"/>
      <c r="H85" s="71"/>
      <c r="I85" s="71" t="s">
        <v>387</v>
      </c>
      <c r="J85" s="71"/>
      <c r="K85" s="71"/>
      <c r="L85" s="71" t="s">
        <v>388</v>
      </c>
      <c r="M85" s="71"/>
      <c r="N85" s="71"/>
      <c r="O85" s="71" t="s">
        <v>389</v>
      </c>
      <c r="P85" s="71"/>
      <c r="Q85" s="71"/>
      <c r="R85" s="72" t="s">
        <v>390</v>
      </c>
      <c r="S85" s="72"/>
      <c r="T85" s="72"/>
    </row>
    <row r="86" customFormat="false" ht="15" hidden="false" customHeight="false" outlineLevel="0" collapsed="false">
      <c r="A86" s="73"/>
      <c r="B86" s="73"/>
      <c r="C86" s="73" t="s">
        <v>391</v>
      </c>
      <c r="D86" s="73" t="s">
        <v>392</v>
      </c>
      <c r="E86" s="73" t="s">
        <v>393</v>
      </c>
      <c r="F86" s="73" t="s">
        <v>391</v>
      </c>
      <c r="G86" s="73" t="s">
        <v>392</v>
      </c>
      <c r="H86" s="73" t="s">
        <v>393</v>
      </c>
      <c r="I86" s="73" t="s">
        <v>391</v>
      </c>
      <c r="J86" s="73" t="s">
        <v>392</v>
      </c>
      <c r="K86" s="73" t="s">
        <v>393</v>
      </c>
      <c r="L86" s="73" t="s">
        <v>391</v>
      </c>
      <c r="M86" s="73" t="s">
        <v>392</v>
      </c>
      <c r="N86" s="73" t="s">
        <v>393</v>
      </c>
      <c r="O86" s="73" t="s">
        <v>391</v>
      </c>
      <c r="P86" s="73" t="s">
        <v>392</v>
      </c>
      <c r="Q86" s="73" t="s">
        <v>393</v>
      </c>
      <c r="R86" s="73" t="s">
        <v>391</v>
      </c>
      <c r="S86" s="73" t="s">
        <v>392</v>
      </c>
      <c r="T86" s="73" t="s">
        <v>393</v>
      </c>
    </row>
    <row r="87" customFormat="false" ht="15" hidden="false" customHeight="false" outlineLevel="0" collapsed="false">
      <c r="A87" s="74" t="n">
        <v>1</v>
      </c>
      <c r="B87" s="75" t="n">
        <v>2040007</v>
      </c>
      <c r="C87" s="76" t="n">
        <v>96000</v>
      </c>
      <c r="D87" s="83" t="n">
        <v>26400</v>
      </c>
      <c r="E87" s="76" t="n">
        <v>122400</v>
      </c>
      <c r="F87" s="75" t="n">
        <f aca="false">IF(D52="","",IF(1&gt;IF(D55="",10,D55),"",D52*(1+IF(D53="",0,D53))^ROUNDDOWN((1-1)/IF(D54="",5,D54),0)))</f>
        <v>96000</v>
      </c>
      <c r="G87" s="75" t="n">
        <f aca="false">IF(F87="","",IF((IF(D62="",IF($D$34="",0,$D$34),D62))=0,0,MAX(0,2040006.73-(IF(D63&lt;&gt;"",D63,IF($D$36&lt;&gt;"",$D$36,IF((IF(D62="",IF($D$34="",0,$D$34),D62))=0,0,D52/(IF(D62="",IF($D$34="",0,$D$34),D62)))))))*(IF(D62="",IF($D$34="",0,$D$34),D62))))</f>
        <v>26400.4038</v>
      </c>
      <c r="H87" s="75" t="n">
        <f aca="false">IF(F87="","",F87+G87)</f>
        <v>122400.4038</v>
      </c>
      <c r="I87" s="75" t="str">
        <f aca="false">IF(E52="","",IF(1&gt;IF(E55="",10,E55),"",E52*(1+IF(E53="",0,E53))^ROUNDDOWN((1-1)/IF(E54="",5,E54),0)))</f>
        <v/>
      </c>
      <c r="J87" s="75" t="str">
        <f aca="false">IF(I87="","",IF((IF(E62="",IF($D$34="",0,$D$34),E62))=0,0,MAX(0,2040006.73-(IF(E63&lt;&gt;"",E63,IF($D$36&lt;&gt;"",$D$36,IF((IF(E62="",IF($D$34="",0,$D$34),E62))=0,0,E52/(IF(E62="",IF($D$34="",0,$D$34),E62)))))))*(IF(E62="",IF($D$34="",0,$D$34),E62))))</f>
        <v/>
      </c>
      <c r="K87" s="75" t="str">
        <f aca="false">IF(I87="","",I87+J87)</f>
        <v/>
      </c>
      <c r="L87" s="75" t="str">
        <f aca="false">IF(F52="","",IF(1&gt;IF(F55="",10,F55),"",F52*(1+IF(F53="",0,F53))^ROUNDDOWN((1-1)/IF(F54="",5,F54),0)))</f>
        <v/>
      </c>
      <c r="M87" s="75" t="str">
        <f aca="false">IF(L87="","",IF((IF(F62="",IF($D$34="",0,$D$34),F62))=0,0,MAX(0,2040006.73-(IF(F63&lt;&gt;"",F63,IF($D$36&lt;&gt;"",$D$36,IF((IF(F62="",IF($D$34="",0,$D$34),F62))=0,0,F52/(IF(F62="",IF($D$34="",0,$D$34),F62)))))))*(IF(F62="",IF($D$34="",0,$D$34),F62))))</f>
        <v/>
      </c>
      <c r="N87" s="75" t="str">
        <f aca="false">IF(L87="","",L87+M87)</f>
        <v/>
      </c>
      <c r="O87" s="75" t="str">
        <f aca="false">IF(G52="","",IF(1&gt;IF(G55="",10,G55),"",G52*(1+IF(G53="",0,G53))^ROUNDDOWN((1-1)/IF(G54="",5,G54),0)))</f>
        <v/>
      </c>
      <c r="P87" s="75" t="str">
        <f aca="false">IF(O87="","",IF((IF(G62="",IF($D$34="",0,$D$34),G62))=0,0,MAX(0,2040006.73-(IF(G63&lt;&gt;"",G63,IF($D$36&lt;&gt;"",$D$36,IF((IF(G62="",IF($D$34="",0,$D$34),G62))=0,0,G52/(IF(G62="",IF($D$34="",0,$D$34),G62)))))))*(IF(G62="",IF($D$34="",0,$D$34),G62))))</f>
        <v/>
      </c>
      <c r="Q87" s="75" t="str">
        <f aca="false">IF(O87="","",O87+P87)</f>
        <v/>
      </c>
      <c r="R87" s="75" t="str">
        <f aca="false">IF(H52="","",IF(1&gt;IF(H55="",10,H55),"",H52*(1+IF(H53="",0,H53))^ROUNDDOWN((1-1)/IF(H54="",5,H54),0)))</f>
        <v/>
      </c>
      <c r="S87" s="75" t="str">
        <f aca="false">IF(R87="","",IF((IF(H62="",IF($D$34="",0,$D$34),H62))=0,0,MAX(0,2040006.73-(IF(H63&lt;&gt;"",H63,IF($D$36&lt;&gt;"",$D$36,IF((IF(H62="",IF($D$34="",0,$D$34),H62))=0,0,H52/(IF(H62="",IF($D$34="",0,$D$34),H62)))))))*(IF(H62="",IF($D$34="",0,$D$34),H62))))</f>
        <v/>
      </c>
      <c r="T87" s="75" t="str">
        <f aca="false">IF(R87="","",R87+S87)</f>
        <v/>
      </c>
    </row>
    <row r="88" customFormat="false" ht="15" hidden="false" customHeight="false" outlineLevel="0" collapsed="false">
      <c r="A88" s="74" t="n">
        <v>2</v>
      </c>
      <c r="B88" s="75" t="n">
        <v>2080807</v>
      </c>
      <c r="C88" s="76" t="n">
        <v>96000</v>
      </c>
      <c r="D88" s="83" t="n">
        <v>28848</v>
      </c>
      <c r="E88" s="76" t="n">
        <v>124848</v>
      </c>
      <c r="F88" s="75" t="n">
        <f aca="false">IF(D52="","",IF(2&gt;IF(D55="",10,D55),"",D52*(1+IF(D53="",0,D53))^ROUNDDOWN((2-1)/IF(D54="",5,D54),0)))</f>
        <v>96000</v>
      </c>
      <c r="G88" s="75" t="n">
        <f aca="false">IF(F88="","",IF((IF(D62="",IF($D$34="",0,$D$34),D62))=0,0,MAX(0,2080806.86-(IF(D63&lt;&gt;"",D63,IF($D$36&lt;&gt;"",$D$36,IF((IF(D62="",IF($D$34="",0,$D$34),D62))=0,0,D52/(IF(D62="",IF($D$34="",0,$D$34),D62)))))))*(IF(D62="",IF($D$34="",0,$D$34),D62))))</f>
        <v>28848.4116</v>
      </c>
      <c r="H88" s="75" t="n">
        <f aca="false">IF(F88="","",F88+G88)</f>
        <v>124848.4116</v>
      </c>
      <c r="I88" s="75" t="str">
        <f aca="false">IF(E52="","",IF(2&gt;IF(E55="",10,E55),"",E52*(1+IF(E53="",0,E53))^ROUNDDOWN((2-1)/IF(E54="",5,E54),0)))</f>
        <v/>
      </c>
      <c r="J88" s="75" t="str">
        <f aca="false">IF(I88="","",IF((IF(E62="",IF($D$34="",0,$D$34),E62))=0,0,MAX(0,2080806.86-(IF(E63&lt;&gt;"",E63,IF($D$36&lt;&gt;"",$D$36,IF((IF(E62="",IF($D$34="",0,$D$34),E62))=0,0,E52/(IF(E62="",IF($D$34="",0,$D$34),E62)))))))*(IF(E62="",IF($D$34="",0,$D$34),E62))))</f>
        <v/>
      </c>
      <c r="K88" s="75" t="str">
        <f aca="false">IF(I88="","",I88+J88)</f>
        <v/>
      </c>
      <c r="L88" s="75" t="str">
        <f aca="false">IF(F52="","",IF(2&gt;IF(F55="",10,F55),"",F52*(1+IF(F53="",0,F53))^ROUNDDOWN((2-1)/IF(F54="",5,F54),0)))</f>
        <v/>
      </c>
      <c r="M88" s="75" t="str">
        <f aca="false">IF(L88="","",IF((IF(F62="",IF($D$34="",0,$D$34),F62))=0,0,MAX(0,2080806.86-(IF(F63&lt;&gt;"",F63,IF($D$36&lt;&gt;"",$D$36,IF((IF(F62="",IF($D$34="",0,$D$34),F62))=0,0,F52/(IF(F62="",IF($D$34="",0,$D$34),F62)))))))*(IF(F62="",IF($D$34="",0,$D$34),F62))))</f>
        <v/>
      </c>
      <c r="N88" s="75" t="str">
        <f aca="false">IF(L88="","",L88+M88)</f>
        <v/>
      </c>
      <c r="O88" s="75" t="str">
        <f aca="false">IF(G52="","",IF(2&gt;IF(G55="",10,G55),"",G52*(1+IF(G53="",0,G53))^ROUNDDOWN((2-1)/IF(G54="",5,G54),0)))</f>
        <v/>
      </c>
      <c r="P88" s="75" t="str">
        <f aca="false">IF(O88="","",IF((IF(G62="",IF($D$34="",0,$D$34),G62))=0,0,MAX(0,2080806.86-(IF(G63&lt;&gt;"",G63,IF($D$36&lt;&gt;"",$D$36,IF((IF(G62="",IF($D$34="",0,$D$34),G62))=0,0,G52/(IF(G62="",IF($D$34="",0,$D$34),G62)))))))*(IF(G62="",IF($D$34="",0,$D$34),G62))))</f>
        <v/>
      </c>
      <c r="Q88" s="75" t="str">
        <f aca="false">IF(O88="","",O88+P88)</f>
        <v/>
      </c>
      <c r="R88" s="75" t="str">
        <f aca="false">IF(H52="","",IF(2&gt;IF(H55="",10,H55),"",H52*(1+IF(H53="",0,H53))^ROUNDDOWN((2-1)/IF(H54="",5,H54),0)))</f>
        <v/>
      </c>
      <c r="S88" s="75" t="str">
        <f aca="false">IF(R88="","",IF((IF(H62="",IF($D$34="",0,$D$34),H62))=0,0,MAX(0,2080806.86-(IF(H63&lt;&gt;"",H63,IF($D$36&lt;&gt;"",$D$36,IF((IF(H62="",IF($D$34="",0,$D$34),H62))=0,0,H52/(IF(H62="",IF($D$34="",0,$D$34),H62)))))))*(IF(H62="",IF($D$34="",0,$D$34),H62))))</f>
        <v/>
      </c>
      <c r="T88" s="75" t="str">
        <f aca="false">IF(R88="","",R88+S88)</f>
        <v/>
      </c>
    </row>
    <row r="89" customFormat="false" ht="15" hidden="false" customHeight="false" outlineLevel="0" collapsed="false">
      <c r="A89" s="74" t="n">
        <v>3</v>
      </c>
      <c r="B89" s="75" t="n">
        <v>2122423</v>
      </c>
      <c r="C89" s="76" t="n">
        <v>96000</v>
      </c>
      <c r="D89" s="83" t="n">
        <v>31345</v>
      </c>
      <c r="E89" s="76" t="n">
        <v>127345</v>
      </c>
      <c r="F89" s="75" t="n">
        <f aca="false">IF(D52="","",IF(3&gt;IF(D55="",10,D55),"",D52*(1+IF(D53="",0,D53))^ROUNDDOWN((3-1)/IF(D54="",5,D54),0)))</f>
        <v>96000</v>
      </c>
      <c r="G89" s="75" t="n">
        <f aca="false">IF(F89="","",IF((IF(D62="",IF($D$34="",0,$D$34),D62))=0,0,MAX(0,2122423-(IF(D63&lt;&gt;"",D63,IF($D$36&lt;&gt;"",$D$36,IF((IF(D62="",IF($D$34="",0,$D$34),D62))=0,0,D52/(IF(D62="",IF($D$34="",0,$D$34),D62)))))))*(IF(D62="",IF($D$34="",0,$D$34),D62))))</f>
        <v>31345.38</v>
      </c>
      <c r="H89" s="75" t="n">
        <f aca="false">IF(F89="","",F89+G89)</f>
        <v>127345.38</v>
      </c>
      <c r="I89" s="75" t="str">
        <f aca="false">IF(E52="","",IF(3&gt;IF(E55="",10,E55),"",E52*(1+IF(E53="",0,E53))^ROUNDDOWN((3-1)/IF(E54="",5,E54),0)))</f>
        <v/>
      </c>
      <c r="J89" s="75" t="str">
        <f aca="false">IF(I89="","",IF((IF(E62="",IF($D$34="",0,$D$34),E62))=0,0,MAX(0,2122423-(IF(E63&lt;&gt;"",E63,IF($D$36&lt;&gt;"",$D$36,IF((IF(E62="",IF($D$34="",0,$D$34),E62))=0,0,E52/(IF(E62="",IF($D$34="",0,$D$34),E62)))))))*(IF(E62="",IF($D$34="",0,$D$34),E62))))</f>
        <v/>
      </c>
      <c r="K89" s="75" t="str">
        <f aca="false">IF(I89="","",I89+J89)</f>
        <v/>
      </c>
      <c r="L89" s="75" t="str">
        <f aca="false">IF(F52="","",IF(3&gt;IF(F55="",10,F55),"",F52*(1+IF(F53="",0,F53))^ROUNDDOWN((3-1)/IF(F54="",5,F54),0)))</f>
        <v/>
      </c>
      <c r="M89" s="75" t="str">
        <f aca="false">IF(L89="","",IF((IF(F62="",IF($D$34="",0,$D$34),F62))=0,0,MAX(0,2122423-(IF(F63&lt;&gt;"",F63,IF($D$36&lt;&gt;"",$D$36,IF((IF(F62="",IF($D$34="",0,$D$34),F62))=0,0,F52/(IF(F62="",IF($D$34="",0,$D$34),F62)))))))*(IF(F62="",IF($D$34="",0,$D$34),F62))))</f>
        <v/>
      </c>
      <c r="N89" s="75" t="str">
        <f aca="false">IF(L89="","",L89+M89)</f>
        <v/>
      </c>
      <c r="O89" s="75" t="str">
        <f aca="false">IF(G52="","",IF(3&gt;IF(G55="",10,G55),"",G52*(1+IF(G53="",0,G53))^ROUNDDOWN((3-1)/IF(G54="",5,G54),0)))</f>
        <v/>
      </c>
      <c r="P89" s="75" t="str">
        <f aca="false">IF(O89="","",IF((IF(G62="",IF($D$34="",0,$D$34),G62))=0,0,MAX(0,2122423-(IF(G63&lt;&gt;"",G63,IF($D$36&lt;&gt;"",$D$36,IF((IF(G62="",IF($D$34="",0,$D$34),G62))=0,0,G52/(IF(G62="",IF($D$34="",0,$D$34),G62)))))))*(IF(G62="",IF($D$34="",0,$D$34),G62))))</f>
        <v/>
      </c>
      <c r="Q89" s="75" t="str">
        <f aca="false">IF(O89="","",O89+P89)</f>
        <v/>
      </c>
      <c r="R89" s="75" t="str">
        <f aca="false">IF(H52="","",IF(3&gt;IF(H55="",10,H55),"",H52*(1+IF(H53="",0,H53))^ROUNDDOWN((3-1)/IF(H54="",5,H54),0)))</f>
        <v/>
      </c>
      <c r="S89" s="75" t="str">
        <f aca="false">IF(R89="","",IF((IF(H62="",IF($D$34="",0,$D$34),H62))=0,0,MAX(0,2122423-(IF(H63&lt;&gt;"",H63,IF($D$36&lt;&gt;"",$D$36,IF((IF(H62="",IF($D$34="",0,$D$34),H62))=0,0,H52/(IF(H62="",IF($D$34="",0,$D$34),H62)))))))*(IF(H62="",IF($D$34="",0,$D$34),H62))))</f>
        <v/>
      </c>
      <c r="T89" s="75" t="str">
        <f aca="false">IF(R89="","",R89+S89)</f>
        <v/>
      </c>
    </row>
    <row r="90" customFormat="false" ht="15" hidden="false" customHeight="false" outlineLevel="0" collapsed="false">
      <c r="A90" s="74" t="n">
        <v>4</v>
      </c>
      <c r="B90" s="75" t="n">
        <v>2164871</v>
      </c>
      <c r="C90" s="76" t="n">
        <v>96000</v>
      </c>
      <c r="D90" s="83" t="n">
        <v>33892</v>
      </c>
      <c r="E90" s="76" t="n">
        <v>129892</v>
      </c>
      <c r="F90" s="75" t="n">
        <f aca="false">IF(D52="","",IF(4&gt;IF(D55="",10,D55),"",D52*(1+IF(D53="",0,D53))^ROUNDDOWN((4-1)/IF(D54="",5,D54),0)))</f>
        <v>96000</v>
      </c>
      <c r="G90" s="75" t="n">
        <f aca="false">IF(F90="","",IF((IF(D62="",IF($D$34="",0,$D$34),D62))=0,0,MAX(0,2164871.46-(IF(D63&lt;&gt;"",D63,IF($D$36&lt;&gt;"",$D$36,IF((IF(D62="",IF($D$34="",0,$D$34),D62))=0,0,D52/(IF(D62="",IF($D$34="",0,$D$34),D62)))))))*(IF(D62="",IF($D$34="",0,$D$34),D62))))</f>
        <v>33892.2876</v>
      </c>
      <c r="H90" s="75" t="n">
        <f aca="false">IF(F90="","",F90+G90)</f>
        <v>129892.2876</v>
      </c>
      <c r="I90" s="75" t="str">
        <f aca="false">IF(E52="","",IF(4&gt;IF(E55="",10,E55),"",E52*(1+IF(E53="",0,E53))^ROUNDDOWN((4-1)/IF(E54="",5,E54),0)))</f>
        <v/>
      </c>
      <c r="J90" s="75" t="str">
        <f aca="false">IF(I90="","",IF((IF(E62="",IF($D$34="",0,$D$34),E62))=0,0,MAX(0,2164871.46-(IF(E63&lt;&gt;"",E63,IF($D$36&lt;&gt;"",$D$36,IF((IF(E62="",IF($D$34="",0,$D$34),E62))=0,0,E52/(IF(E62="",IF($D$34="",0,$D$34),E62)))))))*(IF(E62="",IF($D$34="",0,$D$34),E62))))</f>
        <v/>
      </c>
      <c r="K90" s="75" t="str">
        <f aca="false">IF(I90="","",I90+J90)</f>
        <v/>
      </c>
      <c r="L90" s="75" t="str">
        <f aca="false">IF(F52="","",IF(4&gt;IF(F55="",10,F55),"",F52*(1+IF(F53="",0,F53))^ROUNDDOWN((4-1)/IF(F54="",5,F54),0)))</f>
        <v/>
      </c>
      <c r="M90" s="75" t="str">
        <f aca="false">IF(L90="","",IF((IF(F62="",IF($D$34="",0,$D$34),F62))=0,0,MAX(0,2164871.46-(IF(F63&lt;&gt;"",F63,IF($D$36&lt;&gt;"",$D$36,IF((IF(F62="",IF($D$34="",0,$D$34),F62))=0,0,F52/(IF(F62="",IF($D$34="",0,$D$34),F62)))))))*(IF(F62="",IF($D$34="",0,$D$34),F62))))</f>
        <v/>
      </c>
      <c r="N90" s="75" t="str">
        <f aca="false">IF(L90="","",L90+M90)</f>
        <v/>
      </c>
      <c r="O90" s="75" t="str">
        <f aca="false">IF(G52="","",IF(4&gt;IF(G55="",10,G55),"",G52*(1+IF(G53="",0,G53))^ROUNDDOWN((4-1)/IF(G54="",5,G54),0)))</f>
        <v/>
      </c>
      <c r="P90" s="75" t="str">
        <f aca="false">IF(O90="","",IF((IF(G62="",IF($D$34="",0,$D$34),G62))=0,0,MAX(0,2164871.46-(IF(G63&lt;&gt;"",G63,IF($D$36&lt;&gt;"",$D$36,IF((IF(G62="",IF($D$34="",0,$D$34),G62))=0,0,G52/(IF(G62="",IF($D$34="",0,$D$34),G62)))))))*(IF(G62="",IF($D$34="",0,$D$34),G62))))</f>
        <v/>
      </c>
      <c r="Q90" s="75" t="str">
        <f aca="false">IF(O90="","",O90+P90)</f>
        <v/>
      </c>
      <c r="R90" s="75" t="str">
        <f aca="false">IF(H52="","",IF(4&gt;IF(H55="",10,H55),"",H52*(1+IF(H53="",0,H53))^ROUNDDOWN((4-1)/IF(H54="",5,H54),0)))</f>
        <v/>
      </c>
      <c r="S90" s="75" t="str">
        <f aca="false">IF(R90="","",IF((IF(H62="",IF($D$34="",0,$D$34),H62))=0,0,MAX(0,2164871.46-(IF(H63&lt;&gt;"",H63,IF($D$36&lt;&gt;"",$D$36,IF((IF(H62="",IF($D$34="",0,$D$34),H62))=0,0,H52/(IF(H62="",IF($D$34="",0,$D$34),H62)))))))*(IF(H62="",IF($D$34="",0,$D$34),H62))))</f>
        <v/>
      </c>
      <c r="T90" s="75" t="str">
        <f aca="false">IF(R90="","",R90+S90)</f>
        <v/>
      </c>
    </row>
    <row r="91" customFormat="false" ht="15" hidden="false" customHeight="false" outlineLevel="0" collapsed="false">
      <c r="A91" s="74" t="n">
        <v>5</v>
      </c>
      <c r="B91" s="75" t="n">
        <v>2208169</v>
      </c>
      <c r="C91" s="76" t="n">
        <v>96000</v>
      </c>
      <c r="D91" s="83" t="n">
        <v>36490</v>
      </c>
      <c r="E91" s="76" t="n">
        <v>132490</v>
      </c>
      <c r="F91" s="75" t="n">
        <f aca="false">IF(D52="","",IF(5&gt;IF(D55="",10,D55),"",D52*(1+IF(D53="",0,D53))^ROUNDDOWN((5-1)/IF(D54="",5,D54),0)))</f>
        <v>96000</v>
      </c>
      <c r="G91" s="75" t="n">
        <f aca="false">IF(F91="","",IF((IF(D62="",IF($D$34="",0,$D$34),D62))=0,0,MAX(0,2208168.89-(IF(D63&lt;&gt;"",D63,IF($D$36&lt;&gt;"",$D$36,IF((IF(D62="",IF($D$34="",0,$D$34),D62))=0,0,D52/(IF(D62="",IF($D$34="",0,$D$34),D62)))))))*(IF(D62="",IF($D$34="",0,$D$34),D62))))</f>
        <v>36490.1334</v>
      </c>
      <c r="H91" s="75" t="n">
        <f aca="false">IF(F91="","",F91+G91)</f>
        <v>132490.1334</v>
      </c>
      <c r="I91" s="75" t="str">
        <f aca="false">IF(E52="","",IF(5&gt;IF(E55="",10,E55),"",E52*(1+IF(E53="",0,E53))^ROUNDDOWN((5-1)/IF(E54="",5,E54),0)))</f>
        <v/>
      </c>
      <c r="J91" s="75" t="str">
        <f aca="false">IF(I91="","",IF((IF(E62="",IF($D$34="",0,$D$34),E62))=0,0,MAX(0,2208168.89-(IF(E63&lt;&gt;"",E63,IF($D$36&lt;&gt;"",$D$36,IF((IF(E62="",IF($D$34="",0,$D$34),E62))=0,0,E52/(IF(E62="",IF($D$34="",0,$D$34),E62)))))))*(IF(E62="",IF($D$34="",0,$D$34),E62))))</f>
        <v/>
      </c>
      <c r="K91" s="75" t="str">
        <f aca="false">IF(I91="","",I91+J91)</f>
        <v/>
      </c>
      <c r="L91" s="75" t="str">
        <f aca="false">IF(F52="","",IF(5&gt;IF(F55="",10,F55),"",F52*(1+IF(F53="",0,F53))^ROUNDDOWN((5-1)/IF(F54="",5,F54),0)))</f>
        <v/>
      </c>
      <c r="M91" s="75" t="str">
        <f aca="false">IF(L91="","",IF((IF(F62="",IF($D$34="",0,$D$34),F62))=0,0,MAX(0,2208168.89-(IF(F63&lt;&gt;"",F63,IF($D$36&lt;&gt;"",$D$36,IF((IF(F62="",IF($D$34="",0,$D$34),F62))=0,0,F52/(IF(F62="",IF($D$34="",0,$D$34),F62)))))))*(IF(F62="",IF($D$34="",0,$D$34),F62))))</f>
        <v/>
      </c>
      <c r="N91" s="75" t="str">
        <f aca="false">IF(L91="","",L91+M91)</f>
        <v/>
      </c>
      <c r="O91" s="75" t="str">
        <f aca="false">IF(G52="","",IF(5&gt;IF(G55="",10,G55),"",G52*(1+IF(G53="",0,G53))^ROUNDDOWN((5-1)/IF(G54="",5,G54),0)))</f>
        <v/>
      </c>
      <c r="P91" s="75" t="str">
        <f aca="false">IF(O91="","",IF((IF(G62="",IF($D$34="",0,$D$34),G62))=0,0,MAX(0,2208168.89-(IF(G63&lt;&gt;"",G63,IF($D$36&lt;&gt;"",$D$36,IF((IF(G62="",IF($D$34="",0,$D$34),G62))=0,0,G52/(IF(G62="",IF($D$34="",0,$D$34),G62)))))))*(IF(G62="",IF($D$34="",0,$D$34),G62))))</f>
        <v/>
      </c>
      <c r="Q91" s="75" t="str">
        <f aca="false">IF(O91="","",O91+P91)</f>
        <v/>
      </c>
      <c r="R91" s="75" t="str">
        <f aca="false">IF(H52="","",IF(5&gt;IF(H55="",10,H55),"",H52*(1+IF(H53="",0,H53))^ROUNDDOWN((5-1)/IF(H54="",5,H54),0)))</f>
        <v/>
      </c>
      <c r="S91" s="75" t="str">
        <f aca="false">IF(R91="","",IF((IF(H62="",IF($D$34="",0,$D$34),H62))=0,0,MAX(0,2208168.89-(IF(H63&lt;&gt;"",H63,IF($D$36&lt;&gt;"",$D$36,IF((IF(H62="",IF($D$34="",0,$D$34),H62))=0,0,H52/(IF(H62="",IF($D$34="",0,$D$34),H62)))))))*(IF(H62="",IF($D$34="",0,$D$34),H62))))</f>
        <v/>
      </c>
      <c r="T91" s="75" t="str">
        <f aca="false">IF(R91="","",R91+S91)</f>
        <v/>
      </c>
    </row>
    <row r="92" customFormat="false" ht="15" hidden="false" customHeight="false" outlineLevel="0" collapsed="false">
      <c r="A92" s="74" t="n">
        <v>6</v>
      </c>
      <c r="B92" s="75" t="n">
        <v>2252332</v>
      </c>
      <c r="C92" s="76" t="n">
        <v>120000</v>
      </c>
      <c r="D92" s="83" t="n">
        <v>39140</v>
      </c>
      <c r="E92" s="76" t="n">
        <v>159140</v>
      </c>
      <c r="F92" s="75" t="n">
        <f aca="false">IF(D52="","",IF(6&gt;IF(D55="",10,D55),"",D52*(1+IF(D53="",0,D53))^ROUNDDOWN((6-1)/IF(D54="",5,D54),0)))</f>
        <v>97920</v>
      </c>
      <c r="G92" s="75" t="n">
        <f aca="false">IF(F92="","",IF((IF(D62="",IF($D$34="",0,$D$34),D62))=0,0,MAX(0,2252332.27-(IF(D63&lt;&gt;"",D63,IF($D$36&lt;&gt;"",$D$36,IF((IF(D62="",IF($D$34="",0,$D$34),D62))=0,0,D52/(IF(D62="",IF($D$34="",0,$D$34),D62)))))))*(IF(D62="",IF($D$34="",0,$D$34),D62))))</f>
        <v>39139.9362</v>
      </c>
      <c r="H92" s="75" t="n">
        <f aca="false">IF(F92="","",F92+G92)</f>
        <v>137059.9362</v>
      </c>
      <c r="I92" s="75" t="str">
        <f aca="false">IF(E52="","",IF(6&gt;IF(E55="",10,E55),"",E52*(1+IF(E53="",0,E53))^ROUNDDOWN((6-1)/IF(E54="",5,E54),0)))</f>
        <v/>
      </c>
      <c r="J92" s="75" t="str">
        <f aca="false">IF(I92="","",IF((IF(E62="",IF($D$34="",0,$D$34),E62))=0,0,MAX(0,2252332.27-(IF(E63&lt;&gt;"",E63,IF($D$36&lt;&gt;"",$D$36,IF((IF(E62="",IF($D$34="",0,$D$34),E62))=0,0,E52/(IF(E62="",IF($D$34="",0,$D$34),E62)))))))*(IF(E62="",IF($D$34="",0,$D$34),E62))))</f>
        <v/>
      </c>
      <c r="K92" s="75" t="str">
        <f aca="false">IF(I92="","",I92+J92)</f>
        <v/>
      </c>
      <c r="L92" s="75" t="str">
        <f aca="false">IF(F52="","",IF(6&gt;IF(F55="",10,F55),"",F52*(1+IF(F53="",0,F53))^ROUNDDOWN((6-1)/IF(F54="",5,F54),0)))</f>
        <v/>
      </c>
      <c r="M92" s="75" t="str">
        <f aca="false">IF(L92="","",IF((IF(F62="",IF($D$34="",0,$D$34),F62))=0,0,MAX(0,2252332.27-(IF(F63&lt;&gt;"",F63,IF($D$36&lt;&gt;"",$D$36,IF((IF(F62="",IF($D$34="",0,$D$34),F62))=0,0,F52/(IF(F62="",IF($D$34="",0,$D$34),F62)))))))*(IF(F62="",IF($D$34="",0,$D$34),F62))))</f>
        <v/>
      </c>
      <c r="N92" s="75" t="str">
        <f aca="false">IF(L92="","",L92+M92)</f>
        <v/>
      </c>
      <c r="O92" s="75" t="str">
        <f aca="false">IF(G52="","",IF(6&gt;IF(G55="",10,G55),"",G52*(1+IF(G53="",0,G53))^ROUNDDOWN((6-1)/IF(G54="",5,G54),0)))</f>
        <v/>
      </c>
      <c r="P92" s="75" t="str">
        <f aca="false">IF(O92="","",IF((IF(G62="",IF($D$34="",0,$D$34),G62))=0,0,MAX(0,2252332.27-(IF(G63&lt;&gt;"",G63,IF($D$36&lt;&gt;"",$D$36,IF((IF(G62="",IF($D$34="",0,$D$34),G62))=0,0,G52/(IF(G62="",IF($D$34="",0,$D$34),G62)))))))*(IF(G62="",IF($D$34="",0,$D$34),G62))))</f>
        <v/>
      </c>
      <c r="Q92" s="75" t="str">
        <f aca="false">IF(O92="","",O92+P92)</f>
        <v/>
      </c>
      <c r="R92" s="75" t="str">
        <f aca="false">IF(H52="","",IF(6&gt;IF(H55="",10,H55),"",H52*(1+IF(H53="",0,H53))^ROUNDDOWN((6-1)/IF(H54="",5,H54),0)))</f>
        <v/>
      </c>
      <c r="S92" s="75" t="str">
        <f aca="false">IF(R92="","",IF((IF(H62="",IF($D$34="",0,$D$34),H62))=0,0,MAX(0,2252332.27-(IF(H63&lt;&gt;"",H63,IF($D$36&lt;&gt;"",$D$36,IF((IF(H62="",IF($D$34="",0,$D$34),H62))=0,0,H52/(IF(H62="",IF($D$34="",0,$D$34),H62)))))))*(IF(H62="",IF($D$34="",0,$D$34),H62))))</f>
        <v/>
      </c>
      <c r="T92" s="75" t="str">
        <f aca="false">IF(R92="","",R92+S92)</f>
        <v/>
      </c>
    </row>
    <row r="93" customFormat="false" ht="15" hidden="false" customHeight="false" outlineLevel="0" collapsed="false">
      <c r="A93" s="74" t="n">
        <v>7</v>
      </c>
      <c r="B93" s="75" t="n">
        <v>2297379</v>
      </c>
      <c r="C93" s="76" t="n">
        <v>120000</v>
      </c>
      <c r="D93" s="83" t="n">
        <v>41843</v>
      </c>
      <c r="E93" s="76" t="n">
        <v>161843</v>
      </c>
      <c r="F93" s="75" t="n">
        <f aca="false">IF(D52="","",IF(7&gt;IF(D55="",10,D55),"",D52*(1+IF(D53="",0,D53))^ROUNDDOWN((7-1)/IF(D54="",5,D54),0)))</f>
        <v>97920</v>
      </c>
      <c r="G93" s="75" t="n">
        <f aca="false">IF(F93="","",IF((IF(D62="",IF($D$34="",0,$D$34),D62))=0,0,MAX(0,2297378.91-(IF(D63&lt;&gt;"",D63,IF($D$36&lt;&gt;"",$D$36,IF((IF(D62="",IF($D$34="",0,$D$34),D62))=0,0,D52/(IF(D62="",IF($D$34="",0,$D$34),D62)))))))*(IF(D62="",IF($D$34="",0,$D$34),D62))))</f>
        <v>41842.7346</v>
      </c>
      <c r="H93" s="75" t="n">
        <f aca="false">IF(F93="","",F93+G93)</f>
        <v>139762.7346</v>
      </c>
      <c r="I93" s="75" t="str">
        <f aca="false">IF(E52="","",IF(7&gt;IF(E55="",10,E55),"",E52*(1+IF(E53="",0,E53))^ROUNDDOWN((7-1)/IF(E54="",5,E54),0)))</f>
        <v/>
      </c>
      <c r="J93" s="75" t="str">
        <f aca="false">IF(I93="","",IF((IF(E62="",IF($D$34="",0,$D$34),E62))=0,0,MAX(0,2297378.91-(IF(E63&lt;&gt;"",E63,IF($D$36&lt;&gt;"",$D$36,IF((IF(E62="",IF($D$34="",0,$D$34),E62))=0,0,E52/(IF(E62="",IF($D$34="",0,$D$34),E62)))))))*(IF(E62="",IF($D$34="",0,$D$34),E62))))</f>
        <v/>
      </c>
      <c r="K93" s="75" t="str">
        <f aca="false">IF(I93="","",I93+J93)</f>
        <v/>
      </c>
      <c r="L93" s="75" t="str">
        <f aca="false">IF(F52="","",IF(7&gt;IF(F55="",10,F55),"",F52*(1+IF(F53="",0,F53))^ROUNDDOWN((7-1)/IF(F54="",5,F54),0)))</f>
        <v/>
      </c>
      <c r="M93" s="75" t="str">
        <f aca="false">IF(L93="","",IF((IF(F62="",IF($D$34="",0,$D$34),F62))=0,0,MAX(0,2297378.91-(IF(F63&lt;&gt;"",F63,IF($D$36&lt;&gt;"",$D$36,IF((IF(F62="",IF($D$34="",0,$D$34),F62))=0,0,F52/(IF(F62="",IF($D$34="",0,$D$34),F62)))))))*(IF(F62="",IF($D$34="",0,$D$34),F62))))</f>
        <v/>
      </c>
      <c r="N93" s="75" t="str">
        <f aca="false">IF(L93="","",L93+M93)</f>
        <v/>
      </c>
      <c r="O93" s="75" t="str">
        <f aca="false">IF(G52="","",IF(7&gt;IF(G55="",10,G55),"",G52*(1+IF(G53="",0,G53))^ROUNDDOWN((7-1)/IF(G54="",5,G54),0)))</f>
        <v/>
      </c>
      <c r="P93" s="75" t="str">
        <f aca="false">IF(O93="","",IF((IF(G62="",IF($D$34="",0,$D$34),G62))=0,0,MAX(0,2297378.91-(IF(G63&lt;&gt;"",G63,IF($D$36&lt;&gt;"",$D$36,IF((IF(G62="",IF($D$34="",0,$D$34),G62))=0,0,G52/(IF(G62="",IF($D$34="",0,$D$34),G62)))))))*(IF(G62="",IF($D$34="",0,$D$34),G62))))</f>
        <v/>
      </c>
      <c r="Q93" s="75" t="str">
        <f aca="false">IF(O93="","",O93+P93)</f>
        <v/>
      </c>
      <c r="R93" s="75" t="str">
        <f aca="false">IF(H52="","",IF(7&gt;IF(H55="",10,H55),"",H52*(1+IF(H53="",0,H53))^ROUNDDOWN((7-1)/IF(H54="",5,H54),0)))</f>
        <v/>
      </c>
      <c r="S93" s="75" t="str">
        <f aca="false">IF(R93="","",IF((IF(H62="",IF($D$34="",0,$D$34),H62))=0,0,MAX(0,2297378.91-(IF(H63&lt;&gt;"",H63,IF($D$36&lt;&gt;"",$D$36,IF((IF(H62="",IF($D$34="",0,$D$34),H62))=0,0,H52/(IF(H62="",IF($D$34="",0,$D$34),H62)))))))*(IF(H62="",IF($D$34="",0,$D$34),H62))))</f>
        <v/>
      </c>
      <c r="T93" s="75" t="str">
        <f aca="false">IF(R93="","",R93+S93)</f>
        <v/>
      </c>
    </row>
    <row r="94" customFormat="false" ht="15" hidden="false" customHeight="false" outlineLevel="0" collapsed="false">
      <c r="A94" s="74" t="n">
        <v>8</v>
      </c>
      <c r="B94" s="75" t="n">
        <v>2343326</v>
      </c>
      <c r="C94" s="76" t="n">
        <v>120000</v>
      </c>
      <c r="D94" s="83" t="n">
        <v>44600</v>
      </c>
      <c r="E94" s="76" t="n">
        <v>164600</v>
      </c>
      <c r="F94" s="75" t="n">
        <f aca="false">IF(D52="","",IF(8&gt;IF(D55="",10,D55),"",D52*(1+IF(D53="",0,D53))^ROUNDDOWN((8-1)/IF(D54="",5,D54),0)))</f>
        <v>97920</v>
      </c>
      <c r="G94" s="75" t="n">
        <f aca="false">IF(F94="","",IF((IF(D62="",IF($D$34="",0,$D$34),D62))=0,0,MAX(0,2343326.49-(IF(D63&lt;&gt;"",D63,IF($D$36&lt;&gt;"",$D$36,IF((IF(D62="",IF($D$34="",0,$D$34),D62))=0,0,D52/(IF(D62="",IF($D$34="",0,$D$34),D62)))))))*(IF(D62="",IF($D$34="",0,$D$34),D62))))</f>
        <v>44599.5894</v>
      </c>
      <c r="H94" s="75" t="n">
        <f aca="false">IF(F94="","",F94+G94)</f>
        <v>142519.5894</v>
      </c>
      <c r="I94" s="75" t="str">
        <f aca="false">IF(E52="","",IF(8&gt;IF(E55="",10,E55),"",E52*(1+IF(E53="",0,E53))^ROUNDDOWN((8-1)/IF(E54="",5,E54),0)))</f>
        <v/>
      </c>
      <c r="J94" s="75" t="str">
        <f aca="false">IF(I94="","",IF((IF(E62="",IF($D$34="",0,$D$34),E62))=0,0,MAX(0,2343326.49-(IF(E63&lt;&gt;"",E63,IF($D$36&lt;&gt;"",$D$36,IF((IF(E62="",IF($D$34="",0,$D$34),E62))=0,0,E52/(IF(E62="",IF($D$34="",0,$D$34),E62)))))))*(IF(E62="",IF($D$34="",0,$D$34),E62))))</f>
        <v/>
      </c>
      <c r="K94" s="75" t="str">
        <f aca="false">IF(I94="","",I94+J94)</f>
        <v/>
      </c>
      <c r="L94" s="75" t="str">
        <f aca="false">IF(F52="","",IF(8&gt;IF(F55="",10,F55),"",F52*(1+IF(F53="",0,F53))^ROUNDDOWN((8-1)/IF(F54="",5,F54),0)))</f>
        <v/>
      </c>
      <c r="M94" s="75" t="str">
        <f aca="false">IF(L94="","",IF((IF(F62="",IF($D$34="",0,$D$34),F62))=0,0,MAX(0,2343326.49-(IF(F63&lt;&gt;"",F63,IF($D$36&lt;&gt;"",$D$36,IF((IF(F62="",IF($D$34="",0,$D$34),F62))=0,0,F52/(IF(F62="",IF($D$34="",0,$D$34),F62)))))))*(IF(F62="",IF($D$34="",0,$D$34),F62))))</f>
        <v/>
      </c>
      <c r="N94" s="75" t="str">
        <f aca="false">IF(L94="","",L94+M94)</f>
        <v/>
      </c>
      <c r="O94" s="75" t="str">
        <f aca="false">IF(G52="","",IF(8&gt;IF(G55="",10,G55),"",G52*(1+IF(G53="",0,G53))^ROUNDDOWN((8-1)/IF(G54="",5,G54),0)))</f>
        <v/>
      </c>
      <c r="P94" s="75" t="str">
        <f aca="false">IF(O94="","",IF((IF(G62="",IF($D$34="",0,$D$34),G62))=0,0,MAX(0,2343326.49-(IF(G63&lt;&gt;"",G63,IF($D$36&lt;&gt;"",$D$36,IF((IF(G62="",IF($D$34="",0,$D$34),G62))=0,0,G52/(IF(G62="",IF($D$34="",0,$D$34),G62)))))))*(IF(G62="",IF($D$34="",0,$D$34),G62))))</f>
        <v/>
      </c>
      <c r="Q94" s="75" t="str">
        <f aca="false">IF(O94="","",O94+P94)</f>
        <v/>
      </c>
      <c r="R94" s="75" t="str">
        <f aca="false">IF(H52="","",IF(8&gt;IF(H55="",10,H55),"",H52*(1+IF(H53="",0,H53))^ROUNDDOWN((8-1)/IF(H54="",5,H54),0)))</f>
        <v/>
      </c>
      <c r="S94" s="75" t="str">
        <f aca="false">IF(R94="","",IF((IF(H62="",IF($D$34="",0,$D$34),H62))=0,0,MAX(0,2343326.49-(IF(H63&lt;&gt;"",H63,IF($D$36&lt;&gt;"",$D$36,IF((IF(H62="",IF($D$34="",0,$D$34),H62))=0,0,H52/(IF(H62="",IF($D$34="",0,$D$34),H62)))))))*(IF(H62="",IF($D$34="",0,$D$34),H62))))</f>
        <v/>
      </c>
      <c r="T94" s="75" t="str">
        <f aca="false">IF(R94="","",R94+S94)</f>
        <v/>
      </c>
    </row>
    <row r="95" customFormat="false" ht="15" hidden="false" customHeight="false" outlineLevel="0" collapsed="false">
      <c r="A95" s="74" t="n">
        <v>9</v>
      </c>
      <c r="B95" s="75" t="n">
        <v>2390193</v>
      </c>
      <c r="C95" s="76" t="n">
        <v>120000</v>
      </c>
      <c r="D95" s="83" t="n">
        <v>47412</v>
      </c>
      <c r="E95" s="76" t="n">
        <v>167412</v>
      </c>
      <c r="F95" s="75" t="n">
        <f aca="false">IF(D52="","",IF(9&gt;IF(D55="",10,D55),"",D52*(1+IF(D53="",0,D53))^ROUNDDOWN((9-1)/IF(D54="",5,D54),0)))</f>
        <v>97920</v>
      </c>
      <c r="G95" s="75" t="n">
        <f aca="false">IF(F95="","",IF((IF(D62="",IF($D$34="",0,$D$34),D62))=0,0,MAX(0,2390193.02-(IF(D63&lt;&gt;"",D63,IF($D$36&lt;&gt;"",$D$36,IF((IF(D62="",IF($D$34="",0,$D$34),D62))=0,0,D52/(IF(D62="",IF($D$34="",0,$D$34),D62)))))))*(IF(D62="",IF($D$34="",0,$D$34),D62))))</f>
        <v>47411.5812</v>
      </c>
      <c r="H95" s="75" t="n">
        <f aca="false">IF(F95="","",F95+G95)</f>
        <v>145331.5812</v>
      </c>
      <c r="I95" s="75" t="str">
        <f aca="false">IF(E52="","",IF(9&gt;IF(E55="",10,E55),"",E52*(1+IF(E53="",0,E53))^ROUNDDOWN((9-1)/IF(E54="",5,E54),0)))</f>
        <v/>
      </c>
      <c r="J95" s="75" t="str">
        <f aca="false">IF(I95="","",IF((IF(E62="",IF($D$34="",0,$D$34),E62))=0,0,MAX(0,2390193.02-(IF(E63&lt;&gt;"",E63,IF($D$36&lt;&gt;"",$D$36,IF((IF(E62="",IF($D$34="",0,$D$34),E62))=0,0,E52/(IF(E62="",IF($D$34="",0,$D$34),E62)))))))*(IF(E62="",IF($D$34="",0,$D$34),E62))))</f>
        <v/>
      </c>
      <c r="K95" s="75" t="str">
        <f aca="false">IF(I95="","",I95+J95)</f>
        <v/>
      </c>
      <c r="L95" s="75" t="str">
        <f aca="false">IF(F52="","",IF(9&gt;IF(F55="",10,F55),"",F52*(1+IF(F53="",0,F53))^ROUNDDOWN((9-1)/IF(F54="",5,F54),0)))</f>
        <v/>
      </c>
      <c r="M95" s="75" t="str">
        <f aca="false">IF(L95="","",IF((IF(F62="",IF($D$34="",0,$D$34),F62))=0,0,MAX(0,2390193.02-(IF(F63&lt;&gt;"",F63,IF($D$36&lt;&gt;"",$D$36,IF((IF(F62="",IF($D$34="",0,$D$34),F62))=0,0,F52/(IF(F62="",IF($D$34="",0,$D$34),F62)))))))*(IF(F62="",IF($D$34="",0,$D$34),F62))))</f>
        <v/>
      </c>
      <c r="N95" s="75" t="str">
        <f aca="false">IF(L95="","",L95+M95)</f>
        <v/>
      </c>
      <c r="O95" s="75" t="str">
        <f aca="false">IF(G52="","",IF(9&gt;IF(G55="",10,G55),"",G52*(1+IF(G53="",0,G53))^ROUNDDOWN((9-1)/IF(G54="",5,G54),0)))</f>
        <v/>
      </c>
      <c r="P95" s="75" t="str">
        <f aca="false">IF(O95="","",IF((IF(G62="",IF($D$34="",0,$D$34),G62))=0,0,MAX(0,2390193.02-(IF(G63&lt;&gt;"",G63,IF($D$36&lt;&gt;"",$D$36,IF((IF(G62="",IF($D$34="",0,$D$34),G62))=0,0,G52/(IF(G62="",IF($D$34="",0,$D$34),G62)))))))*(IF(G62="",IF($D$34="",0,$D$34),G62))))</f>
        <v/>
      </c>
      <c r="Q95" s="75" t="str">
        <f aca="false">IF(O95="","",O95+P95)</f>
        <v/>
      </c>
      <c r="R95" s="75" t="str">
        <f aca="false">IF(H52="","",IF(9&gt;IF(H55="",10,H55),"",H52*(1+IF(H53="",0,H53))^ROUNDDOWN((9-1)/IF(H54="",5,H54),0)))</f>
        <v/>
      </c>
      <c r="S95" s="75" t="str">
        <f aca="false">IF(R95="","",IF((IF(H62="",IF($D$34="",0,$D$34),H62))=0,0,MAX(0,2390193.02-(IF(H63&lt;&gt;"",H63,IF($D$36&lt;&gt;"",$D$36,IF((IF(H62="",IF($D$34="",0,$D$34),H62))=0,0,H52/(IF(H62="",IF($D$34="",0,$D$34),H62)))))))*(IF(H62="",IF($D$34="",0,$D$34),H62))))</f>
        <v/>
      </c>
      <c r="T95" s="75" t="str">
        <f aca="false">IF(R95="","",R95+S95)</f>
        <v/>
      </c>
    </row>
    <row r="96" customFormat="false" ht="15" hidden="false" customHeight="false" outlineLevel="0" collapsed="false">
      <c r="A96" s="74" t="n">
        <v>10</v>
      </c>
      <c r="B96" s="75" t="n">
        <v>2437997</v>
      </c>
      <c r="C96" s="76" t="n">
        <v>120000</v>
      </c>
      <c r="D96" s="83" t="n">
        <v>50280</v>
      </c>
      <c r="E96" s="76" t="n">
        <v>170280</v>
      </c>
      <c r="F96" s="75" t="n">
        <f aca="false">IF(D52="","",IF(10&gt;IF(D55="",10,D55),"",D52*(1+IF(D53="",0,D53))^ROUNDDOWN((10-1)/IF(D54="",5,D54),0)))</f>
        <v>97920</v>
      </c>
      <c r="G96" s="75" t="n">
        <f aca="false">IF(F96="","",IF((IF(D62="",IF($D$34="",0,$D$34),D62))=0,0,MAX(0,2437996.88-(IF(D63&lt;&gt;"",D63,IF($D$36&lt;&gt;"",$D$36,IF((IF(D62="",IF($D$34="",0,$D$34),D62))=0,0,D52/(IF(D62="",IF($D$34="",0,$D$34),D62)))))))*(IF(D62="",IF($D$34="",0,$D$34),D62))))</f>
        <v>50279.8128</v>
      </c>
      <c r="H96" s="75" t="n">
        <f aca="false">IF(F96="","",F96+G96)</f>
        <v>148199.8128</v>
      </c>
      <c r="I96" s="75" t="str">
        <f aca="false">IF(E52="","",IF(10&gt;IF(E55="",10,E55),"",E52*(1+IF(E53="",0,E53))^ROUNDDOWN((10-1)/IF(E54="",5,E54),0)))</f>
        <v/>
      </c>
      <c r="J96" s="75" t="str">
        <f aca="false">IF(I96="","",IF((IF(E62="",IF($D$34="",0,$D$34),E62))=0,0,MAX(0,2437996.88-(IF(E63&lt;&gt;"",E63,IF($D$36&lt;&gt;"",$D$36,IF((IF(E62="",IF($D$34="",0,$D$34),E62))=0,0,E52/(IF(E62="",IF($D$34="",0,$D$34),E62)))))))*(IF(E62="",IF($D$34="",0,$D$34),E62))))</f>
        <v/>
      </c>
      <c r="K96" s="75" t="str">
        <f aca="false">IF(I96="","",I96+J96)</f>
        <v/>
      </c>
      <c r="L96" s="75" t="str">
        <f aca="false">IF(F52="","",IF(10&gt;IF(F55="",10,F55),"",F52*(1+IF(F53="",0,F53))^ROUNDDOWN((10-1)/IF(F54="",5,F54),0)))</f>
        <v/>
      </c>
      <c r="M96" s="75" t="str">
        <f aca="false">IF(L96="","",IF((IF(F62="",IF($D$34="",0,$D$34),F62))=0,0,MAX(0,2437996.88-(IF(F63&lt;&gt;"",F63,IF($D$36&lt;&gt;"",$D$36,IF((IF(F62="",IF($D$34="",0,$D$34),F62))=0,0,F52/(IF(F62="",IF($D$34="",0,$D$34),F62)))))))*(IF(F62="",IF($D$34="",0,$D$34),F62))))</f>
        <v/>
      </c>
      <c r="N96" s="75" t="str">
        <f aca="false">IF(L96="","",L96+M96)</f>
        <v/>
      </c>
      <c r="O96" s="75" t="str">
        <f aca="false">IF(G52="","",IF(10&gt;IF(G55="",10,G55),"",G52*(1+IF(G53="",0,G53))^ROUNDDOWN((10-1)/IF(G54="",5,G54),0)))</f>
        <v/>
      </c>
      <c r="P96" s="75" t="str">
        <f aca="false">IF(O96="","",IF((IF(G62="",IF($D$34="",0,$D$34),G62))=0,0,MAX(0,2437996.88-(IF(G63&lt;&gt;"",G63,IF($D$36&lt;&gt;"",$D$36,IF((IF(G62="",IF($D$34="",0,$D$34),G62))=0,0,G52/(IF(G62="",IF($D$34="",0,$D$34),G62)))))))*(IF(G62="",IF($D$34="",0,$D$34),G62))))</f>
        <v/>
      </c>
      <c r="Q96" s="75" t="str">
        <f aca="false">IF(O96="","",O96+P96)</f>
        <v/>
      </c>
      <c r="R96" s="75" t="str">
        <f aca="false">IF(H52="","",IF(10&gt;IF(H55="",10,H55),"",H52*(1+IF(H53="",0,H53))^ROUNDDOWN((10-1)/IF(H54="",5,H54),0)))</f>
        <v/>
      </c>
      <c r="S96" s="75" t="str">
        <f aca="false">IF(R96="","",IF((IF(H62="",IF($D$34="",0,$D$34),H62))=0,0,MAX(0,2437996.88-(IF(H63&lt;&gt;"",H63,IF($D$36&lt;&gt;"",$D$36,IF((IF(H62="",IF($D$34="",0,$D$34),H62))=0,0,H52/(IF(H62="",IF($D$34="",0,$D$34),H62)))))))*(IF(H62="",IF($D$34="",0,$D$34),H62))))</f>
        <v/>
      </c>
      <c r="T96" s="75" t="str">
        <f aca="false">IF(R96="","",R96+S96)</f>
        <v/>
      </c>
    </row>
    <row r="97" customFormat="false" ht="15" hidden="false" customHeight="false" outlineLevel="0" collapsed="false">
      <c r="A97" s="74" t="n">
        <v>11</v>
      </c>
      <c r="B97" s="75" t="n">
        <v>2486757</v>
      </c>
      <c r="C97" s="76" t="n">
        <v>150000</v>
      </c>
      <c r="D97" s="83" t="n">
        <v>53205</v>
      </c>
      <c r="E97" s="76" t="n">
        <v>203205</v>
      </c>
      <c r="F97" s="75" t="n">
        <f aca="false">IF(D52="","",IF(11&gt;IF(D55="",10,D55),"",D52*(1+IF(D53="",0,D53))^ROUNDDOWN((11-1)/IF(D54="",5,D54),0)))</f>
        <v>99878.4</v>
      </c>
      <c r="G97" s="75" t="n">
        <f aca="false">IF(F97="","",IF((IF(D62="",IF($D$34="",0,$D$34),D62))=0,0,MAX(0,2486756.82-(IF(D63&lt;&gt;"",D63,IF($D$36&lt;&gt;"",$D$36,IF((IF(D62="",IF($D$34="",0,$D$34),D62))=0,0,D52/(IF(D62="",IF($D$34="",0,$D$34),D62)))))))*(IF(D62="",IF($D$34="",0,$D$34),D62))))</f>
        <v>53205.4092</v>
      </c>
      <c r="H97" s="75" t="n">
        <f aca="false">IF(F97="","",F97+G97)</f>
        <v>153083.8092</v>
      </c>
      <c r="I97" s="75" t="str">
        <f aca="false">IF(E52="","",IF(11&gt;IF(E55="",10,E55),"",E52*(1+IF(E53="",0,E53))^ROUNDDOWN((11-1)/IF(E54="",5,E54),0)))</f>
        <v/>
      </c>
      <c r="J97" s="75" t="str">
        <f aca="false">IF(I97="","",IF((IF(E62="",IF($D$34="",0,$D$34),E62))=0,0,MAX(0,2486756.82-(IF(E63&lt;&gt;"",E63,IF($D$36&lt;&gt;"",$D$36,IF((IF(E62="",IF($D$34="",0,$D$34),E62))=0,0,E52/(IF(E62="",IF($D$34="",0,$D$34),E62)))))))*(IF(E62="",IF($D$34="",0,$D$34),E62))))</f>
        <v/>
      </c>
      <c r="K97" s="75" t="str">
        <f aca="false">IF(I97="","",I97+J97)</f>
        <v/>
      </c>
      <c r="L97" s="75" t="str">
        <f aca="false">IF(F52="","",IF(11&gt;IF(F55="",10,F55),"",F52*(1+IF(F53="",0,F53))^ROUNDDOWN((11-1)/IF(F54="",5,F54),0)))</f>
        <v/>
      </c>
      <c r="M97" s="75" t="str">
        <f aca="false">IF(L97="","",IF((IF(F62="",IF($D$34="",0,$D$34),F62))=0,0,MAX(0,2486756.82-(IF(F63&lt;&gt;"",F63,IF($D$36&lt;&gt;"",$D$36,IF((IF(F62="",IF($D$34="",0,$D$34),F62))=0,0,F52/(IF(F62="",IF($D$34="",0,$D$34),F62)))))))*(IF(F62="",IF($D$34="",0,$D$34),F62))))</f>
        <v/>
      </c>
      <c r="N97" s="75" t="str">
        <f aca="false">IF(L97="","",L97+M97)</f>
        <v/>
      </c>
      <c r="O97" s="75" t="str">
        <f aca="false">IF(G52="","",IF(11&gt;IF(G55="",10,G55),"",G52*(1+IF(G53="",0,G53))^ROUNDDOWN((11-1)/IF(G54="",5,G54),0)))</f>
        <v/>
      </c>
      <c r="P97" s="75" t="str">
        <f aca="false">IF(O97="","",IF((IF(G62="",IF($D$34="",0,$D$34),G62))=0,0,MAX(0,2486756.82-(IF(G63&lt;&gt;"",G63,IF($D$36&lt;&gt;"",$D$36,IF((IF(G62="",IF($D$34="",0,$D$34),G62))=0,0,G52/(IF(G62="",IF($D$34="",0,$D$34),G62)))))))*(IF(G62="",IF($D$34="",0,$D$34),G62))))</f>
        <v/>
      </c>
      <c r="Q97" s="75" t="str">
        <f aca="false">IF(O97="","",O97+P97)</f>
        <v/>
      </c>
      <c r="R97" s="75" t="str">
        <f aca="false">IF(H52="","",IF(11&gt;IF(H55="",10,H55),"",H52*(1+IF(H53="",0,H53))^ROUNDDOWN((11-1)/IF(H54="",5,H54),0)))</f>
        <v/>
      </c>
      <c r="S97" s="75" t="str">
        <f aca="false">IF(R97="","",IF((IF(H62="",IF($D$34="",0,$D$34),H62))=0,0,MAX(0,2486756.82-(IF(H63&lt;&gt;"",H63,IF($D$36&lt;&gt;"",$D$36,IF((IF(H62="",IF($D$34="",0,$D$34),H62))=0,0,H52/(IF(H62="",IF($D$34="",0,$D$34),H62)))))))*(IF(H62="",IF($D$34="",0,$D$34),H62))))</f>
        <v/>
      </c>
      <c r="T97" s="75" t="str">
        <f aca="false">IF(R97="","",R97+S97)</f>
        <v/>
      </c>
    </row>
    <row r="98" customFormat="false" ht="15" hidden="false" customHeight="false" outlineLevel="0" collapsed="false">
      <c r="A98" s="74" t="n">
        <v>12</v>
      </c>
      <c r="B98" s="75" t="n">
        <v>2536492</v>
      </c>
      <c r="C98" s="76" t="n">
        <v>150000</v>
      </c>
      <c r="D98" s="83" t="n">
        <v>56190</v>
      </c>
      <c r="E98" s="76" t="n">
        <v>206190</v>
      </c>
      <c r="F98" s="75" t="n">
        <f aca="false">IF(D52="","",IF(12&gt;IF(D55="",10,D55),"",D52*(1+IF(D53="",0,D53))^ROUNDDOWN((12-1)/IF(D54="",5,D54),0)))</f>
        <v>99878.4</v>
      </c>
      <c r="G98" s="75" t="n">
        <f aca="false">IF(F98="","",IF((IF(D62="",IF($D$34="",0,$D$34),D62))=0,0,MAX(0,2536491.96-(IF(D63&lt;&gt;"",D63,IF($D$36&lt;&gt;"",$D$36,IF((IF(D62="",IF($D$34="",0,$D$34),D62))=0,0,D52/(IF(D62="",IF($D$34="",0,$D$34),D62)))))))*(IF(D62="",IF($D$34="",0,$D$34),D62))))</f>
        <v>56189.5176</v>
      </c>
      <c r="H98" s="75" t="n">
        <f aca="false">IF(F98="","",F98+G98)</f>
        <v>156067.9176</v>
      </c>
      <c r="I98" s="75" t="str">
        <f aca="false">IF(E52="","",IF(12&gt;IF(E55="",10,E55),"",E52*(1+IF(E53="",0,E53))^ROUNDDOWN((12-1)/IF(E54="",5,E54),0)))</f>
        <v/>
      </c>
      <c r="J98" s="75" t="str">
        <f aca="false">IF(I98="","",IF((IF(E62="",IF($D$34="",0,$D$34),E62))=0,0,MAX(0,2536491.96-(IF(E63&lt;&gt;"",E63,IF($D$36&lt;&gt;"",$D$36,IF((IF(E62="",IF($D$34="",0,$D$34),E62))=0,0,E52/(IF(E62="",IF($D$34="",0,$D$34),E62)))))))*(IF(E62="",IF($D$34="",0,$D$34),E62))))</f>
        <v/>
      </c>
      <c r="K98" s="75" t="str">
        <f aca="false">IF(I98="","",I98+J98)</f>
        <v/>
      </c>
      <c r="L98" s="75" t="str">
        <f aca="false">IF(F52="","",IF(12&gt;IF(F55="",10,F55),"",F52*(1+IF(F53="",0,F53))^ROUNDDOWN((12-1)/IF(F54="",5,F54),0)))</f>
        <v/>
      </c>
      <c r="M98" s="75" t="str">
        <f aca="false">IF(L98="","",IF((IF(F62="",IF($D$34="",0,$D$34),F62))=0,0,MAX(0,2536491.96-(IF(F63&lt;&gt;"",F63,IF($D$36&lt;&gt;"",$D$36,IF((IF(F62="",IF($D$34="",0,$D$34),F62))=0,0,F52/(IF(F62="",IF($D$34="",0,$D$34),F62)))))))*(IF(F62="",IF($D$34="",0,$D$34),F62))))</f>
        <v/>
      </c>
      <c r="N98" s="75" t="str">
        <f aca="false">IF(L98="","",L98+M98)</f>
        <v/>
      </c>
      <c r="O98" s="75" t="str">
        <f aca="false">IF(G52="","",IF(12&gt;IF(G55="",10,G55),"",G52*(1+IF(G53="",0,G53))^ROUNDDOWN((12-1)/IF(G54="",5,G54),0)))</f>
        <v/>
      </c>
      <c r="P98" s="75" t="str">
        <f aca="false">IF(O98="","",IF((IF(G62="",IF($D$34="",0,$D$34),G62))=0,0,MAX(0,2536491.96-(IF(G63&lt;&gt;"",G63,IF($D$36&lt;&gt;"",$D$36,IF((IF(G62="",IF($D$34="",0,$D$34),G62))=0,0,G52/(IF(G62="",IF($D$34="",0,$D$34),G62)))))))*(IF(G62="",IF($D$34="",0,$D$34),G62))))</f>
        <v/>
      </c>
      <c r="Q98" s="75" t="str">
        <f aca="false">IF(O98="","",O98+P98)</f>
        <v/>
      </c>
      <c r="R98" s="75" t="str">
        <f aca="false">IF(H52="","",IF(12&gt;IF(H55="",10,H55),"",H52*(1+IF(H53="",0,H53))^ROUNDDOWN((12-1)/IF(H54="",5,H54),0)))</f>
        <v/>
      </c>
      <c r="S98" s="75" t="str">
        <f aca="false">IF(R98="","",IF((IF(H62="",IF($D$34="",0,$D$34),H62))=0,0,MAX(0,2536491.96-(IF(H63&lt;&gt;"",H63,IF($D$36&lt;&gt;"",$D$36,IF((IF(H62="",IF($D$34="",0,$D$34),H62))=0,0,H52/(IF(H62="",IF($D$34="",0,$D$34),H62)))))))*(IF(H62="",IF($D$34="",0,$D$34),H62))))</f>
        <v/>
      </c>
      <c r="T98" s="75" t="str">
        <f aca="false">IF(R98="","",R98+S98)</f>
        <v/>
      </c>
    </row>
    <row r="99" customFormat="false" ht="15" hidden="false" customHeight="false" outlineLevel="0" collapsed="false">
      <c r="A99" s="74" t="n">
        <v>13</v>
      </c>
      <c r="B99" s="75" t="n">
        <v>2587222</v>
      </c>
      <c r="C99" s="76" t="n">
        <v>150000</v>
      </c>
      <c r="D99" s="83" t="n">
        <v>59233</v>
      </c>
      <c r="E99" s="76" t="n">
        <v>209233</v>
      </c>
      <c r="F99" s="75" t="n">
        <f aca="false">IF(D52="","",IF(13&gt;IF(D55="",10,D55),"",D52*(1+IF(D53="",0,D53))^ROUNDDOWN((13-1)/IF(D54="",5,D54),0)))</f>
        <v>99878.4</v>
      </c>
      <c r="G99" s="75" t="n">
        <f aca="false">IF(F99="","",IF((IF(D62="",IF($D$34="",0,$D$34),D62))=0,0,MAX(0,2587221.8-(IF(D63&lt;&gt;"",D63,IF($D$36&lt;&gt;"",$D$36,IF((IF(D62="",IF($D$34="",0,$D$34),D62))=0,0,D52/(IF(D62="",IF($D$34="",0,$D$34),D62)))))))*(IF(D62="",IF($D$34="",0,$D$34),D62))))</f>
        <v>59233.308</v>
      </c>
      <c r="H99" s="75" t="n">
        <f aca="false">IF(F99="","",F99+G99)</f>
        <v>159111.708</v>
      </c>
      <c r="I99" s="75" t="str">
        <f aca="false">IF(E52="","",IF(13&gt;IF(E55="",10,E55),"",E52*(1+IF(E53="",0,E53))^ROUNDDOWN((13-1)/IF(E54="",5,E54),0)))</f>
        <v/>
      </c>
      <c r="J99" s="75" t="str">
        <f aca="false">IF(I99="","",IF((IF(E62="",IF($D$34="",0,$D$34),E62))=0,0,MAX(0,2587221.8-(IF(E63&lt;&gt;"",E63,IF($D$36&lt;&gt;"",$D$36,IF((IF(E62="",IF($D$34="",0,$D$34),E62))=0,0,E52/(IF(E62="",IF($D$34="",0,$D$34),E62)))))))*(IF(E62="",IF($D$34="",0,$D$34),E62))))</f>
        <v/>
      </c>
      <c r="K99" s="75" t="str">
        <f aca="false">IF(I99="","",I99+J99)</f>
        <v/>
      </c>
      <c r="L99" s="75" t="str">
        <f aca="false">IF(F52="","",IF(13&gt;IF(F55="",10,F55),"",F52*(1+IF(F53="",0,F53))^ROUNDDOWN((13-1)/IF(F54="",5,F54),0)))</f>
        <v/>
      </c>
      <c r="M99" s="75" t="str">
        <f aca="false">IF(L99="","",IF((IF(F62="",IF($D$34="",0,$D$34),F62))=0,0,MAX(0,2587221.8-(IF(F63&lt;&gt;"",F63,IF($D$36&lt;&gt;"",$D$36,IF((IF(F62="",IF($D$34="",0,$D$34),F62))=0,0,F52/(IF(F62="",IF($D$34="",0,$D$34),F62)))))))*(IF(F62="",IF($D$34="",0,$D$34),F62))))</f>
        <v/>
      </c>
      <c r="N99" s="75" t="str">
        <f aca="false">IF(L99="","",L99+M99)</f>
        <v/>
      </c>
      <c r="O99" s="75" t="str">
        <f aca="false">IF(G52="","",IF(13&gt;IF(G55="",10,G55),"",G52*(1+IF(G53="",0,G53))^ROUNDDOWN((13-1)/IF(G54="",5,G54),0)))</f>
        <v/>
      </c>
      <c r="P99" s="75" t="str">
        <f aca="false">IF(O99="","",IF((IF(G62="",IF($D$34="",0,$D$34),G62))=0,0,MAX(0,2587221.8-(IF(G63&lt;&gt;"",G63,IF($D$36&lt;&gt;"",$D$36,IF((IF(G62="",IF($D$34="",0,$D$34),G62))=0,0,G52/(IF(G62="",IF($D$34="",0,$D$34),G62)))))))*(IF(G62="",IF($D$34="",0,$D$34),G62))))</f>
        <v/>
      </c>
      <c r="Q99" s="75" t="str">
        <f aca="false">IF(O99="","",O99+P99)</f>
        <v/>
      </c>
      <c r="R99" s="75" t="str">
        <f aca="false">IF(H52="","",IF(13&gt;IF(H55="",10,H55),"",H52*(1+IF(H53="",0,H53))^ROUNDDOWN((13-1)/IF(H54="",5,H54),0)))</f>
        <v/>
      </c>
      <c r="S99" s="75" t="str">
        <f aca="false">IF(R99="","",IF((IF(H62="",IF($D$34="",0,$D$34),H62))=0,0,MAX(0,2587221.8-(IF(H63&lt;&gt;"",H63,IF($D$36&lt;&gt;"",$D$36,IF((IF(H62="",IF($D$34="",0,$D$34),H62))=0,0,H52/(IF(H62="",IF($D$34="",0,$D$34),H62)))))))*(IF(H62="",IF($D$34="",0,$D$34),H62))))</f>
        <v/>
      </c>
      <c r="T99" s="75" t="str">
        <f aca="false">IF(R99="","",R99+S99)</f>
        <v/>
      </c>
    </row>
    <row r="100" customFormat="false" ht="15" hidden="false" customHeight="false" outlineLevel="0" collapsed="false">
      <c r="A100" s="74" t="n">
        <v>14</v>
      </c>
      <c r="B100" s="75" t="n">
        <v>2638966</v>
      </c>
      <c r="C100" s="76" t="n">
        <v>150000</v>
      </c>
      <c r="D100" s="83" t="n">
        <v>62338</v>
      </c>
      <c r="E100" s="76" t="n">
        <v>212338</v>
      </c>
      <c r="F100" s="75" t="n">
        <f aca="false">IF(D52="","",IF(14&gt;IF(D55="",10,D55),"",D52*(1+IF(D53="",0,D53))^ROUNDDOWN((14-1)/IF(D54="",5,D54),0)))</f>
        <v>99878.4</v>
      </c>
      <c r="G100" s="75" t="n">
        <f aca="false">IF(F100="","",IF((IF(D62="",IF($D$34="",0,$D$34),D62))=0,0,MAX(0,2638966.23-(IF(D63&lt;&gt;"",D63,IF($D$36&lt;&gt;"",$D$36,IF((IF(D62="",IF($D$34="",0,$D$34),D62))=0,0,D52/(IF(D62="",IF($D$34="",0,$D$34),D62)))))))*(IF(D62="",IF($D$34="",0,$D$34),D62))))</f>
        <v>62337.9738</v>
      </c>
      <c r="H100" s="75" t="n">
        <f aca="false">IF(F100="","",F100+G100)</f>
        <v>162216.3738</v>
      </c>
      <c r="I100" s="75" t="str">
        <f aca="false">IF(E52="","",IF(14&gt;IF(E55="",10,E55),"",E52*(1+IF(E53="",0,E53))^ROUNDDOWN((14-1)/IF(E54="",5,E54),0)))</f>
        <v/>
      </c>
      <c r="J100" s="75" t="str">
        <f aca="false">IF(I100="","",IF((IF(E62="",IF($D$34="",0,$D$34),E62))=0,0,MAX(0,2638966.23-(IF(E63&lt;&gt;"",E63,IF($D$36&lt;&gt;"",$D$36,IF((IF(E62="",IF($D$34="",0,$D$34),E62))=0,0,E52/(IF(E62="",IF($D$34="",0,$D$34),E62)))))))*(IF(E62="",IF($D$34="",0,$D$34),E62))))</f>
        <v/>
      </c>
      <c r="K100" s="75" t="str">
        <f aca="false">IF(I100="","",I100+J100)</f>
        <v/>
      </c>
      <c r="L100" s="75" t="str">
        <f aca="false">IF(F52="","",IF(14&gt;IF(F55="",10,F55),"",F52*(1+IF(F53="",0,F53))^ROUNDDOWN((14-1)/IF(F54="",5,F54),0)))</f>
        <v/>
      </c>
      <c r="M100" s="75" t="str">
        <f aca="false">IF(L100="","",IF((IF(F62="",IF($D$34="",0,$D$34),F62))=0,0,MAX(0,2638966.23-(IF(F63&lt;&gt;"",F63,IF($D$36&lt;&gt;"",$D$36,IF((IF(F62="",IF($D$34="",0,$D$34),F62))=0,0,F52/(IF(F62="",IF($D$34="",0,$D$34),F62)))))))*(IF(F62="",IF($D$34="",0,$D$34),F62))))</f>
        <v/>
      </c>
      <c r="N100" s="75" t="str">
        <f aca="false">IF(L100="","",L100+M100)</f>
        <v/>
      </c>
      <c r="O100" s="75" t="str">
        <f aca="false">IF(G52="","",IF(14&gt;IF(G55="",10,G55),"",G52*(1+IF(G53="",0,G53))^ROUNDDOWN((14-1)/IF(G54="",5,G54),0)))</f>
        <v/>
      </c>
      <c r="P100" s="75" t="str">
        <f aca="false">IF(O100="","",IF((IF(G62="",IF($D$34="",0,$D$34),G62))=0,0,MAX(0,2638966.23-(IF(G63&lt;&gt;"",G63,IF($D$36&lt;&gt;"",$D$36,IF((IF(G62="",IF($D$34="",0,$D$34),G62))=0,0,G52/(IF(G62="",IF($D$34="",0,$D$34),G62)))))))*(IF(G62="",IF($D$34="",0,$D$34),G62))))</f>
        <v/>
      </c>
      <c r="Q100" s="75" t="str">
        <f aca="false">IF(O100="","",O100+P100)</f>
        <v/>
      </c>
      <c r="R100" s="75" t="str">
        <f aca="false">IF(H52="","",IF(14&gt;IF(H55="",10,H55),"",H52*(1+IF(H53="",0,H53))^ROUNDDOWN((14-1)/IF(H54="",5,H54),0)))</f>
        <v/>
      </c>
      <c r="S100" s="75" t="str">
        <f aca="false">IF(R100="","",IF((IF(H62="",IF($D$34="",0,$D$34),H62))=0,0,MAX(0,2638966.23-(IF(H63&lt;&gt;"",H63,IF($D$36&lt;&gt;"",$D$36,IF((IF(H62="",IF($D$34="",0,$D$34),H62))=0,0,H52/(IF(H62="",IF($D$34="",0,$D$34),H62)))))))*(IF(H62="",IF($D$34="",0,$D$34),H62))))</f>
        <v/>
      </c>
      <c r="T100" s="75" t="str">
        <f aca="false">IF(R100="","",R100+S100)</f>
        <v/>
      </c>
    </row>
    <row r="101" customFormat="false" ht="15" hidden="false" customHeight="false" outlineLevel="0" collapsed="false">
      <c r="A101" s="74" t="n">
        <v>15</v>
      </c>
      <c r="B101" s="75" t="n">
        <v>2691746</v>
      </c>
      <c r="C101" s="76" t="n">
        <v>150000</v>
      </c>
      <c r="D101" s="83" t="n">
        <v>65505</v>
      </c>
      <c r="E101" s="76" t="n">
        <v>215505</v>
      </c>
      <c r="F101" s="75" t="n">
        <f aca="false">IF(D52="","",IF(15&gt;IF(D55="",10,D55),"",D52*(1+IF(D53="",0,D53))^ROUNDDOWN((15-1)/IF(D54="",5,D54),0)))</f>
        <v>99878.4</v>
      </c>
      <c r="G101" s="75" t="n">
        <f aca="false">IF(F101="","",IF((IF(D62="",IF($D$34="",0,$D$34),D62))=0,0,MAX(0,2691745.56-(IF(D63&lt;&gt;"",D63,IF($D$36&lt;&gt;"",$D$36,IF((IF(D62="",IF($D$34="",0,$D$34),D62))=0,0,D52/(IF(D62="",IF($D$34="",0,$D$34),D62)))))))*(IF(D62="",IF($D$34="",0,$D$34),D62))))</f>
        <v>65504.7336</v>
      </c>
      <c r="H101" s="75" t="n">
        <f aca="false">IF(F101="","",F101+G101)</f>
        <v>165383.1336</v>
      </c>
      <c r="I101" s="75" t="str">
        <f aca="false">IF(E52="","",IF(15&gt;IF(E55="",10,E55),"",E52*(1+IF(E53="",0,E53))^ROUNDDOWN((15-1)/IF(E54="",5,E54),0)))</f>
        <v/>
      </c>
      <c r="J101" s="75" t="str">
        <f aca="false">IF(I101="","",IF((IF(E62="",IF($D$34="",0,$D$34),E62))=0,0,MAX(0,2691745.56-(IF(E63&lt;&gt;"",E63,IF($D$36&lt;&gt;"",$D$36,IF((IF(E62="",IF($D$34="",0,$D$34),E62))=0,0,E52/(IF(E62="",IF($D$34="",0,$D$34),E62)))))))*(IF(E62="",IF($D$34="",0,$D$34),E62))))</f>
        <v/>
      </c>
      <c r="K101" s="75" t="str">
        <f aca="false">IF(I101="","",I101+J101)</f>
        <v/>
      </c>
      <c r="L101" s="75" t="str">
        <f aca="false">IF(F52="","",IF(15&gt;IF(F55="",10,F55),"",F52*(1+IF(F53="",0,F53))^ROUNDDOWN((15-1)/IF(F54="",5,F54),0)))</f>
        <v/>
      </c>
      <c r="M101" s="75" t="str">
        <f aca="false">IF(L101="","",IF((IF(F62="",IF($D$34="",0,$D$34),F62))=0,0,MAX(0,2691745.56-(IF(F63&lt;&gt;"",F63,IF($D$36&lt;&gt;"",$D$36,IF((IF(F62="",IF($D$34="",0,$D$34),F62))=0,0,F52/(IF(F62="",IF($D$34="",0,$D$34),F62)))))))*(IF(F62="",IF($D$34="",0,$D$34),F62))))</f>
        <v/>
      </c>
      <c r="N101" s="75" t="str">
        <f aca="false">IF(L101="","",L101+M101)</f>
        <v/>
      </c>
      <c r="O101" s="75" t="str">
        <f aca="false">IF(G52="","",IF(15&gt;IF(G55="",10,G55),"",G52*(1+IF(G53="",0,G53))^ROUNDDOWN((15-1)/IF(G54="",5,G54),0)))</f>
        <v/>
      </c>
      <c r="P101" s="75" t="str">
        <f aca="false">IF(O101="","",IF((IF(G62="",IF($D$34="",0,$D$34),G62))=0,0,MAX(0,2691745.56-(IF(G63&lt;&gt;"",G63,IF($D$36&lt;&gt;"",$D$36,IF((IF(G62="",IF($D$34="",0,$D$34),G62))=0,0,G52/(IF(G62="",IF($D$34="",0,$D$34),G62)))))))*(IF(G62="",IF($D$34="",0,$D$34),G62))))</f>
        <v/>
      </c>
      <c r="Q101" s="75" t="str">
        <f aca="false">IF(O101="","",O101+P101)</f>
        <v/>
      </c>
      <c r="R101" s="75" t="str">
        <f aca="false">IF(H52="","",IF(15&gt;IF(H55="",10,H55),"",H52*(1+IF(H53="",0,H53))^ROUNDDOWN((15-1)/IF(H54="",5,H54),0)))</f>
        <v/>
      </c>
      <c r="S101" s="75" t="str">
        <f aca="false">IF(R101="","",IF((IF(H62="",IF($D$34="",0,$D$34),H62))=0,0,MAX(0,2691745.56-(IF(H63&lt;&gt;"",H63,IF($D$36&lt;&gt;"",$D$36,IF((IF(H62="",IF($D$34="",0,$D$34),H62))=0,0,H52/(IF(H62="",IF($D$34="",0,$D$34),H62)))))))*(IF(H62="",IF($D$34="",0,$D$34),H62))))</f>
        <v/>
      </c>
      <c r="T101" s="75" t="str">
        <f aca="false">IF(R101="","",R101+S101)</f>
        <v/>
      </c>
    </row>
    <row r="102" customFormat="false" ht="15" hidden="false" customHeight="false" outlineLevel="0" collapsed="false">
      <c r="A102" s="74" t="n">
        <v>16</v>
      </c>
      <c r="B102" s="75" t="n">
        <v>2745580</v>
      </c>
      <c r="C102" s="76" t="n">
        <v>187500</v>
      </c>
      <c r="D102" s="83" t="n">
        <v>68735</v>
      </c>
      <c r="E102" s="76" t="n">
        <v>256235</v>
      </c>
      <c r="F102" s="75" t="n">
        <f aca="false">IF(D52="","",IF(16&gt;IF(D55="",10,D55),"",D52*(1+IF(D53="",0,D53))^ROUNDDOWN((16-1)/IF(D54="",5,D54),0)))</f>
        <v>101875.968</v>
      </c>
      <c r="G102" s="75" t="n">
        <f aca="false">IF(F102="","",IF((IF(D62="",IF($D$34="",0,$D$34),D62))=0,0,MAX(0,2745580.47-(IF(D63&lt;&gt;"",D63,IF($D$36&lt;&gt;"",$D$36,IF((IF(D62="",IF($D$34="",0,$D$34),D62))=0,0,D52/(IF(D62="",IF($D$34="",0,$D$34),D62)))))))*(IF(D62="",IF($D$34="",0,$D$34),D62))))</f>
        <v>68734.8282</v>
      </c>
      <c r="H102" s="75" t="n">
        <f aca="false">IF(F102="","",F102+G102)</f>
        <v>170610.7962</v>
      </c>
      <c r="I102" s="75" t="str">
        <f aca="false">IF(E52="","",IF(16&gt;IF(E55="",10,E55),"",E52*(1+IF(E53="",0,E53))^ROUNDDOWN((16-1)/IF(E54="",5,E54),0)))</f>
        <v/>
      </c>
      <c r="J102" s="75" t="str">
        <f aca="false">IF(I102="","",IF((IF(E62="",IF($D$34="",0,$D$34),E62))=0,0,MAX(0,2745580.47-(IF(E63&lt;&gt;"",E63,IF($D$36&lt;&gt;"",$D$36,IF((IF(E62="",IF($D$34="",0,$D$34),E62))=0,0,E52/(IF(E62="",IF($D$34="",0,$D$34),E62)))))))*(IF(E62="",IF($D$34="",0,$D$34),E62))))</f>
        <v/>
      </c>
      <c r="K102" s="75" t="str">
        <f aca="false">IF(I102="","",I102+J102)</f>
        <v/>
      </c>
      <c r="L102" s="75" t="str">
        <f aca="false">IF(F52="","",IF(16&gt;IF(F55="",10,F55),"",F52*(1+IF(F53="",0,F53))^ROUNDDOWN((16-1)/IF(F54="",5,F54),0)))</f>
        <v/>
      </c>
      <c r="M102" s="75" t="str">
        <f aca="false">IF(L102="","",IF((IF(F62="",IF($D$34="",0,$D$34),F62))=0,0,MAX(0,2745580.47-(IF(F63&lt;&gt;"",F63,IF($D$36&lt;&gt;"",$D$36,IF((IF(F62="",IF($D$34="",0,$D$34),F62))=0,0,F52/(IF(F62="",IF($D$34="",0,$D$34),F62)))))))*(IF(F62="",IF($D$34="",0,$D$34),F62))))</f>
        <v/>
      </c>
      <c r="N102" s="75" t="str">
        <f aca="false">IF(L102="","",L102+M102)</f>
        <v/>
      </c>
      <c r="O102" s="75" t="str">
        <f aca="false">IF(G52="","",IF(16&gt;IF(G55="",10,G55),"",G52*(1+IF(G53="",0,G53))^ROUNDDOWN((16-1)/IF(G54="",5,G54),0)))</f>
        <v/>
      </c>
      <c r="P102" s="75" t="str">
        <f aca="false">IF(O102="","",IF((IF(G62="",IF($D$34="",0,$D$34),G62))=0,0,MAX(0,2745580.47-(IF(G63&lt;&gt;"",G63,IF($D$36&lt;&gt;"",$D$36,IF((IF(G62="",IF($D$34="",0,$D$34),G62))=0,0,G52/(IF(G62="",IF($D$34="",0,$D$34),G62)))))))*(IF(G62="",IF($D$34="",0,$D$34),G62))))</f>
        <v/>
      </c>
      <c r="Q102" s="75" t="str">
        <f aca="false">IF(O102="","",O102+P102)</f>
        <v/>
      </c>
      <c r="R102" s="75" t="str">
        <f aca="false">IF(H52="","",IF(16&gt;IF(H55="",10,H55),"",H52*(1+IF(H53="",0,H53))^ROUNDDOWN((16-1)/IF(H54="",5,H54),0)))</f>
        <v/>
      </c>
      <c r="S102" s="75" t="str">
        <f aca="false">IF(R102="","",IF((IF(H62="",IF($D$34="",0,$D$34),H62))=0,0,MAX(0,2745580.47-(IF(H63&lt;&gt;"",H63,IF($D$36&lt;&gt;"",$D$36,IF((IF(H62="",IF($D$34="",0,$D$34),H62))=0,0,H52/(IF(H62="",IF($D$34="",0,$D$34),H62)))))))*(IF(H62="",IF($D$34="",0,$D$34),H62))))</f>
        <v/>
      </c>
      <c r="T102" s="75" t="str">
        <f aca="false">IF(R102="","",R102+S102)</f>
        <v/>
      </c>
    </row>
    <row r="103" customFormat="false" ht="15" hidden="false" customHeight="false" outlineLevel="0" collapsed="false">
      <c r="A103" s="74" t="n">
        <v>17</v>
      </c>
      <c r="B103" s="75" t="n">
        <v>2800492</v>
      </c>
      <c r="C103" s="76" t="n">
        <v>187500</v>
      </c>
      <c r="D103" s="83" t="n">
        <v>72030</v>
      </c>
      <c r="E103" s="76" t="n">
        <v>259530</v>
      </c>
      <c r="F103" s="75" t="n">
        <f aca="false">IF(D52="","",IF(17&gt;IF(D55="",10,D55),"",D52*(1+IF(D53="",0,D53))^ROUNDDOWN((17-1)/IF(D54="",5,D54),0)))</f>
        <v>101875.968</v>
      </c>
      <c r="G103" s="75" t="n">
        <f aca="false">IF(F103="","",IF((IF(D62="",IF($D$34="",0,$D$34),D62))=0,0,MAX(0,2800492.08-(IF(D63&lt;&gt;"",D63,IF($D$36&lt;&gt;"",$D$36,IF((IF(D62="",IF($D$34="",0,$D$34),D62))=0,0,D52/(IF(D62="",IF($D$34="",0,$D$34),D62)))))))*(IF(D62="",IF($D$34="",0,$D$34),D62))))</f>
        <v>72029.5248</v>
      </c>
      <c r="H103" s="75" t="n">
        <f aca="false">IF(F103="","",F103+G103)</f>
        <v>173905.4928</v>
      </c>
      <c r="I103" s="75" t="str">
        <f aca="false">IF(E52="","",IF(17&gt;IF(E55="",10,E55),"",E52*(1+IF(E53="",0,E53))^ROUNDDOWN((17-1)/IF(E54="",5,E54),0)))</f>
        <v/>
      </c>
      <c r="J103" s="75" t="str">
        <f aca="false">IF(I103="","",IF((IF(E62="",IF($D$34="",0,$D$34),E62))=0,0,MAX(0,2800492.08-(IF(E63&lt;&gt;"",E63,IF($D$36&lt;&gt;"",$D$36,IF((IF(E62="",IF($D$34="",0,$D$34),E62))=0,0,E52/(IF(E62="",IF($D$34="",0,$D$34),E62)))))))*(IF(E62="",IF($D$34="",0,$D$34),E62))))</f>
        <v/>
      </c>
      <c r="K103" s="75" t="str">
        <f aca="false">IF(I103="","",I103+J103)</f>
        <v/>
      </c>
      <c r="L103" s="75" t="str">
        <f aca="false">IF(F52="","",IF(17&gt;IF(F55="",10,F55),"",F52*(1+IF(F53="",0,F53))^ROUNDDOWN((17-1)/IF(F54="",5,F54),0)))</f>
        <v/>
      </c>
      <c r="M103" s="75" t="str">
        <f aca="false">IF(L103="","",IF((IF(F62="",IF($D$34="",0,$D$34),F62))=0,0,MAX(0,2800492.08-(IF(F63&lt;&gt;"",F63,IF($D$36&lt;&gt;"",$D$36,IF((IF(F62="",IF($D$34="",0,$D$34),F62))=0,0,F52/(IF(F62="",IF($D$34="",0,$D$34),F62)))))))*(IF(F62="",IF($D$34="",0,$D$34),F62))))</f>
        <v/>
      </c>
      <c r="N103" s="75" t="str">
        <f aca="false">IF(L103="","",L103+M103)</f>
        <v/>
      </c>
      <c r="O103" s="75" t="str">
        <f aca="false">IF(G52="","",IF(17&gt;IF(G55="",10,G55),"",G52*(1+IF(G53="",0,G53))^ROUNDDOWN((17-1)/IF(G54="",5,G54),0)))</f>
        <v/>
      </c>
      <c r="P103" s="75" t="str">
        <f aca="false">IF(O103="","",IF((IF(G62="",IF($D$34="",0,$D$34),G62))=0,0,MAX(0,2800492.08-(IF(G63&lt;&gt;"",G63,IF($D$36&lt;&gt;"",$D$36,IF((IF(G62="",IF($D$34="",0,$D$34),G62))=0,0,G52/(IF(G62="",IF($D$34="",0,$D$34),G62)))))))*(IF(G62="",IF($D$34="",0,$D$34),G62))))</f>
        <v/>
      </c>
      <c r="Q103" s="75" t="str">
        <f aca="false">IF(O103="","",O103+P103)</f>
        <v/>
      </c>
      <c r="R103" s="75" t="str">
        <f aca="false">IF(H52="","",IF(17&gt;IF(H55="",10,H55),"",H52*(1+IF(H53="",0,H53))^ROUNDDOWN((17-1)/IF(H54="",5,H54),0)))</f>
        <v/>
      </c>
      <c r="S103" s="75" t="str">
        <f aca="false">IF(R103="","",IF((IF(H62="",IF($D$34="",0,$D$34),H62))=0,0,MAX(0,2800492.08-(IF(H63&lt;&gt;"",H63,IF($D$36&lt;&gt;"",$D$36,IF((IF(H62="",IF($D$34="",0,$D$34),H62))=0,0,H52/(IF(H62="",IF($D$34="",0,$D$34),H62)))))))*(IF(H62="",IF($D$34="",0,$D$34),H62))))</f>
        <v/>
      </c>
      <c r="T103" s="75" t="str">
        <f aca="false">IF(R103="","",R103+S103)</f>
        <v/>
      </c>
    </row>
    <row r="104" customFormat="false" ht="15" hidden="false" customHeight="false" outlineLevel="0" collapsed="false">
      <c r="A104" s="74" t="n">
        <v>18</v>
      </c>
      <c r="B104" s="75" t="n">
        <v>2856502</v>
      </c>
      <c r="C104" s="76" t="n">
        <v>187500</v>
      </c>
      <c r="D104" s="83" t="n">
        <v>75390</v>
      </c>
      <c r="E104" s="76" t="n">
        <v>262890</v>
      </c>
      <c r="F104" s="75" t="n">
        <f aca="false">IF(D52="","",IF(18&gt;IF(D55="",10,D55),"",D52*(1+IF(D53="",0,D53))^ROUNDDOWN((18-1)/IF(D54="",5,D54),0)))</f>
        <v>101875.968</v>
      </c>
      <c r="G104" s="75" t="n">
        <f aca="false">IF(F104="","",IF((IF(D62="",IF($D$34="",0,$D$34),D62))=0,0,MAX(0,2856501.92-(IF(D63&lt;&gt;"",D63,IF($D$36&lt;&gt;"",$D$36,IF((IF(D62="",IF($D$34="",0,$D$34),D62))=0,0,D52/(IF(D62="",IF($D$34="",0,$D$34),D62)))))))*(IF(D62="",IF($D$34="",0,$D$34),D62))))</f>
        <v>75390.1152</v>
      </c>
      <c r="H104" s="75" t="n">
        <f aca="false">IF(F104="","",F104+G104)</f>
        <v>177266.0832</v>
      </c>
      <c r="I104" s="75" t="str">
        <f aca="false">IF(E52="","",IF(18&gt;IF(E55="",10,E55),"",E52*(1+IF(E53="",0,E53))^ROUNDDOWN((18-1)/IF(E54="",5,E54),0)))</f>
        <v/>
      </c>
      <c r="J104" s="75" t="str">
        <f aca="false">IF(I104="","",IF((IF(E62="",IF($D$34="",0,$D$34),E62))=0,0,MAX(0,2856501.92-(IF(E63&lt;&gt;"",E63,IF($D$36&lt;&gt;"",$D$36,IF((IF(E62="",IF($D$34="",0,$D$34),E62))=0,0,E52/(IF(E62="",IF($D$34="",0,$D$34),E62)))))))*(IF(E62="",IF($D$34="",0,$D$34),E62))))</f>
        <v/>
      </c>
      <c r="K104" s="75" t="str">
        <f aca="false">IF(I104="","",I104+J104)</f>
        <v/>
      </c>
      <c r="L104" s="75" t="str">
        <f aca="false">IF(F52="","",IF(18&gt;IF(F55="",10,F55),"",F52*(1+IF(F53="",0,F53))^ROUNDDOWN((18-1)/IF(F54="",5,F54),0)))</f>
        <v/>
      </c>
      <c r="M104" s="75" t="str">
        <f aca="false">IF(L104="","",IF((IF(F62="",IF($D$34="",0,$D$34),F62))=0,0,MAX(0,2856501.92-(IF(F63&lt;&gt;"",F63,IF($D$36&lt;&gt;"",$D$36,IF((IF(F62="",IF($D$34="",0,$D$34),F62))=0,0,F52/(IF(F62="",IF($D$34="",0,$D$34),F62)))))))*(IF(F62="",IF($D$34="",0,$D$34),F62))))</f>
        <v/>
      </c>
      <c r="N104" s="75" t="str">
        <f aca="false">IF(L104="","",L104+M104)</f>
        <v/>
      </c>
      <c r="O104" s="75" t="str">
        <f aca="false">IF(G52="","",IF(18&gt;IF(G55="",10,G55),"",G52*(1+IF(G53="",0,G53))^ROUNDDOWN((18-1)/IF(G54="",5,G54),0)))</f>
        <v/>
      </c>
      <c r="P104" s="75" t="str">
        <f aca="false">IF(O104="","",IF((IF(G62="",IF($D$34="",0,$D$34),G62))=0,0,MAX(0,2856501.92-(IF(G63&lt;&gt;"",G63,IF($D$36&lt;&gt;"",$D$36,IF((IF(G62="",IF($D$34="",0,$D$34),G62))=0,0,G52/(IF(G62="",IF($D$34="",0,$D$34),G62)))))))*(IF(G62="",IF($D$34="",0,$D$34),G62))))</f>
        <v/>
      </c>
      <c r="Q104" s="75" t="str">
        <f aca="false">IF(O104="","",O104+P104)</f>
        <v/>
      </c>
      <c r="R104" s="75" t="str">
        <f aca="false">IF(H52="","",IF(18&gt;IF(H55="",10,H55),"",H52*(1+IF(H53="",0,H53))^ROUNDDOWN((18-1)/IF(H54="",5,H54),0)))</f>
        <v/>
      </c>
      <c r="S104" s="75" t="str">
        <f aca="false">IF(R104="","",IF((IF(H62="",IF($D$34="",0,$D$34),H62))=0,0,MAX(0,2856501.92-(IF(H63&lt;&gt;"",H63,IF($D$36&lt;&gt;"",$D$36,IF((IF(H62="",IF($D$34="",0,$D$34),H62))=0,0,H52/(IF(H62="",IF($D$34="",0,$D$34),H62)))))))*(IF(H62="",IF($D$34="",0,$D$34),H62))))</f>
        <v/>
      </c>
      <c r="T104" s="75" t="str">
        <f aca="false">IF(R104="","",R104+S104)</f>
        <v/>
      </c>
    </row>
    <row r="105" customFormat="false" ht="15" hidden="false" customHeight="false" outlineLevel="0" collapsed="false">
      <c r="A105" s="74" t="n">
        <v>19</v>
      </c>
      <c r="B105" s="75" t="n">
        <v>2913632</v>
      </c>
      <c r="C105" s="76" t="n">
        <v>187500</v>
      </c>
      <c r="D105" s="83" t="n">
        <v>78818</v>
      </c>
      <c r="E105" s="76" t="n">
        <v>266318</v>
      </c>
      <c r="F105" s="75" t="n">
        <f aca="false">IF(D52="","",IF(19&gt;IF(D55="",10,D55),"",D52*(1+IF(D53="",0,D53))^ROUNDDOWN((19-1)/IF(D54="",5,D54),0)))</f>
        <v>101875.968</v>
      </c>
      <c r="G105" s="75" t="n">
        <f aca="false">IF(F105="","",IF((IF(D62="",IF($D$34="",0,$D$34),D62))=0,0,MAX(0,2913631.96-(IF(D63&lt;&gt;"",D63,IF($D$36&lt;&gt;"",$D$36,IF((IF(D62="",IF($D$34="",0,$D$34),D62))=0,0,D52/(IF(D62="",IF($D$34="",0,$D$34),D62)))))))*(IF(D62="",IF($D$34="",0,$D$34),D62))))</f>
        <v>78817.9176</v>
      </c>
      <c r="H105" s="75" t="n">
        <f aca="false">IF(F105="","",F105+G105)</f>
        <v>180693.8856</v>
      </c>
      <c r="I105" s="75" t="str">
        <f aca="false">IF(E52="","",IF(19&gt;IF(E55="",10,E55),"",E52*(1+IF(E53="",0,E53))^ROUNDDOWN((19-1)/IF(E54="",5,E54),0)))</f>
        <v/>
      </c>
      <c r="J105" s="75" t="str">
        <f aca="false">IF(I105="","",IF((IF(E62="",IF($D$34="",0,$D$34),E62))=0,0,MAX(0,2913631.96-(IF(E63&lt;&gt;"",E63,IF($D$36&lt;&gt;"",$D$36,IF((IF(E62="",IF($D$34="",0,$D$34),E62))=0,0,E52/(IF(E62="",IF($D$34="",0,$D$34),E62)))))))*(IF(E62="",IF($D$34="",0,$D$34),E62))))</f>
        <v/>
      </c>
      <c r="K105" s="75" t="str">
        <f aca="false">IF(I105="","",I105+J105)</f>
        <v/>
      </c>
      <c r="L105" s="75" t="str">
        <f aca="false">IF(F52="","",IF(19&gt;IF(F55="",10,F55),"",F52*(1+IF(F53="",0,F53))^ROUNDDOWN((19-1)/IF(F54="",5,F54),0)))</f>
        <v/>
      </c>
      <c r="M105" s="75" t="str">
        <f aca="false">IF(L105="","",IF((IF(F62="",IF($D$34="",0,$D$34),F62))=0,0,MAX(0,2913631.96-(IF(F63&lt;&gt;"",F63,IF($D$36&lt;&gt;"",$D$36,IF((IF(F62="",IF($D$34="",0,$D$34),F62))=0,0,F52/(IF(F62="",IF($D$34="",0,$D$34),F62)))))))*(IF(F62="",IF($D$34="",0,$D$34),F62))))</f>
        <v/>
      </c>
      <c r="N105" s="75" t="str">
        <f aca="false">IF(L105="","",L105+M105)</f>
        <v/>
      </c>
      <c r="O105" s="75" t="str">
        <f aca="false">IF(G52="","",IF(19&gt;IF(G55="",10,G55),"",G52*(1+IF(G53="",0,G53))^ROUNDDOWN((19-1)/IF(G54="",5,G54),0)))</f>
        <v/>
      </c>
      <c r="P105" s="75" t="str">
        <f aca="false">IF(O105="","",IF((IF(G62="",IF($D$34="",0,$D$34),G62))=0,0,MAX(0,2913631.96-(IF(G63&lt;&gt;"",G63,IF($D$36&lt;&gt;"",$D$36,IF((IF(G62="",IF($D$34="",0,$D$34),G62))=0,0,G52/(IF(G62="",IF($D$34="",0,$D$34),G62)))))))*(IF(G62="",IF($D$34="",0,$D$34),G62))))</f>
        <v/>
      </c>
      <c r="Q105" s="75" t="str">
        <f aca="false">IF(O105="","",O105+P105)</f>
        <v/>
      </c>
      <c r="R105" s="75" t="str">
        <f aca="false">IF(H52="","",IF(19&gt;IF(H55="",10,H55),"",H52*(1+IF(H53="",0,H53))^ROUNDDOWN((19-1)/IF(H54="",5,H54),0)))</f>
        <v/>
      </c>
      <c r="S105" s="75" t="str">
        <f aca="false">IF(R105="","",IF((IF(H62="",IF($D$34="",0,$D$34),H62))=0,0,MAX(0,2913631.96-(IF(H63&lt;&gt;"",H63,IF($D$36&lt;&gt;"",$D$36,IF((IF(H62="",IF($D$34="",0,$D$34),H62))=0,0,H52/(IF(H62="",IF($D$34="",0,$D$34),H62)))))))*(IF(H62="",IF($D$34="",0,$D$34),H62))))</f>
        <v/>
      </c>
      <c r="T105" s="75" t="str">
        <f aca="false">IF(R105="","",R105+S105)</f>
        <v/>
      </c>
    </row>
    <row r="106" customFormat="false" ht="15" hidden="false" customHeight="false" outlineLevel="0" collapsed="false">
      <c r="A106" s="74" t="n">
        <v>20</v>
      </c>
      <c r="B106" s="75" t="n">
        <v>2971905</v>
      </c>
      <c r="C106" s="76" t="n">
        <v>187500</v>
      </c>
      <c r="D106" s="83" t="n">
        <v>82314</v>
      </c>
      <c r="E106" s="76" t="n">
        <v>269814</v>
      </c>
      <c r="F106" s="75" t="n">
        <f aca="false">IF(D52="","",IF(20&gt;IF(D55="",10,D55),"",D52*(1+IF(D53="",0,D53))^ROUNDDOWN((20-1)/IF(D54="",5,D54),0)))</f>
        <v>101875.968</v>
      </c>
      <c r="G106" s="75" t="n">
        <f aca="false">IF(F106="","",IF((IF(D62="",IF($D$34="",0,$D$34),D62))=0,0,MAX(0,2971904.6-(IF(D63&lt;&gt;"",D63,IF($D$36&lt;&gt;"",$D$36,IF((IF(D62="",IF($D$34="",0,$D$34),D62))=0,0,D52/(IF(D62="",IF($D$34="",0,$D$34),D62)))))))*(IF(D62="",IF($D$34="",0,$D$34),D62))))</f>
        <v>82314.276</v>
      </c>
      <c r="H106" s="75" t="n">
        <f aca="false">IF(F106="","",F106+G106)</f>
        <v>184190.244</v>
      </c>
      <c r="I106" s="75" t="str">
        <f aca="false">IF(E52="","",IF(20&gt;IF(E55="",10,E55),"",E52*(1+IF(E53="",0,E53))^ROUNDDOWN((20-1)/IF(E54="",5,E54),0)))</f>
        <v/>
      </c>
      <c r="J106" s="75" t="str">
        <f aca="false">IF(I106="","",IF((IF(E62="",IF($D$34="",0,$D$34),E62))=0,0,MAX(0,2971904.6-(IF(E63&lt;&gt;"",E63,IF($D$36&lt;&gt;"",$D$36,IF((IF(E62="",IF($D$34="",0,$D$34),E62))=0,0,E52/(IF(E62="",IF($D$34="",0,$D$34),E62)))))))*(IF(E62="",IF($D$34="",0,$D$34),E62))))</f>
        <v/>
      </c>
      <c r="K106" s="75" t="str">
        <f aca="false">IF(I106="","",I106+J106)</f>
        <v/>
      </c>
      <c r="L106" s="75" t="str">
        <f aca="false">IF(F52="","",IF(20&gt;IF(F55="",10,F55),"",F52*(1+IF(F53="",0,F53))^ROUNDDOWN((20-1)/IF(F54="",5,F54),0)))</f>
        <v/>
      </c>
      <c r="M106" s="75" t="str">
        <f aca="false">IF(L106="","",IF((IF(F62="",IF($D$34="",0,$D$34),F62))=0,0,MAX(0,2971904.6-(IF(F63&lt;&gt;"",F63,IF($D$36&lt;&gt;"",$D$36,IF((IF(F62="",IF($D$34="",0,$D$34),F62))=0,0,F52/(IF(F62="",IF($D$34="",0,$D$34),F62)))))))*(IF(F62="",IF($D$34="",0,$D$34),F62))))</f>
        <v/>
      </c>
      <c r="N106" s="75" t="str">
        <f aca="false">IF(L106="","",L106+M106)</f>
        <v/>
      </c>
      <c r="O106" s="75" t="str">
        <f aca="false">IF(G52="","",IF(20&gt;IF(G55="",10,G55),"",G52*(1+IF(G53="",0,G53))^ROUNDDOWN((20-1)/IF(G54="",5,G54),0)))</f>
        <v/>
      </c>
      <c r="P106" s="75" t="str">
        <f aca="false">IF(O106="","",IF((IF(G62="",IF($D$34="",0,$D$34),G62))=0,0,MAX(0,2971904.6-(IF(G63&lt;&gt;"",G63,IF($D$36&lt;&gt;"",$D$36,IF((IF(G62="",IF($D$34="",0,$D$34),G62))=0,0,G52/(IF(G62="",IF($D$34="",0,$D$34),G62)))))))*(IF(G62="",IF($D$34="",0,$D$34),G62))))</f>
        <v/>
      </c>
      <c r="Q106" s="75" t="str">
        <f aca="false">IF(O106="","",O106+P106)</f>
        <v/>
      </c>
      <c r="R106" s="75" t="str">
        <f aca="false">IF(H52="","",IF(20&gt;IF(H55="",10,H55),"",H52*(1+IF(H53="",0,H53))^ROUNDDOWN((20-1)/IF(H54="",5,H54),0)))</f>
        <v/>
      </c>
      <c r="S106" s="75" t="str">
        <f aca="false">IF(R106="","",IF((IF(H62="",IF($D$34="",0,$D$34),H62))=0,0,MAX(0,2971904.6-(IF(H63&lt;&gt;"",H63,IF($D$36&lt;&gt;"",$D$36,IF((IF(H62="",IF($D$34="",0,$D$34),H62))=0,0,H52/(IF(H62="",IF($D$34="",0,$D$34),H62)))))))*(IF(H62="",IF($D$34="",0,$D$34),H62))))</f>
        <v/>
      </c>
      <c r="T106" s="75" t="str">
        <f aca="false">IF(R106="","",R106+S106)</f>
        <v/>
      </c>
    </row>
    <row r="107" customFormat="false" ht="15" hidden="false" customHeight="false" outlineLevel="0" collapsed="false">
      <c r="A107" s="77" t="s">
        <v>394</v>
      </c>
      <c r="C107" s="78" t="n">
        <f aca="false">IF(COUNT(C87:C106)=0,"",SUM(C87:C106))</f>
        <v>2767500</v>
      </c>
      <c r="D107" s="78" t="n">
        <f aca="false">IF(COUNT(D87:D106)=0,"",SUM(D87:D106))</f>
        <v>1054008</v>
      </c>
      <c r="E107" s="78" t="n">
        <f aca="false">IF(COUNT(E87:E106)=0,"",SUM(E87:E106))</f>
        <v>3821508</v>
      </c>
      <c r="F107" s="78" t="n">
        <f aca="false">IF(COUNT(F87:F106)=0,"",SUM(F87:F106))</f>
        <v>1978371.84</v>
      </c>
      <c r="G107" s="78" t="n">
        <f aca="false">IF(COUNT(G87:G106)=0,"",SUM(G87:G106))</f>
        <v>1054007.8746</v>
      </c>
      <c r="H107" s="78" t="n">
        <f aca="false">IF(COUNT(H87:H106)=0,"",SUM(H87:H106))</f>
        <v>3032379.7146</v>
      </c>
      <c r="I107" s="78" t="str">
        <f aca="false">IF(COUNT(I87:I106)=0,"",SUM(I87:I106))</f>
        <v/>
      </c>
      <c r="J107" s="78" t="str">
        <f aca="false">IF(COUNT(J87:J106)=0,"",SUM(J87:J106))</f>
        <v/>
      </c>
      <c r="K107" s="78" t="str">
        <f aca="false">IF(COUNT(K87:K106)=0,"",SUM(K87:K106))</f>
        <v/>
      </c>
      <c r="L107" s="78" t="str">
        <f aca="false">IF(COUNT(L87:L106)=0,"",SUM(L87:L106))</f>
        <v/>
      </c>
      <c r="M107" s="78" t="str">
        <f aca="false">IF(COUNT(M87:M106)=0,"",SUM(M87:M106))</f>
        <v/>
      </c>
      <c r="N107" s="78" t="str">
        <f aca="false">IF(COUNT(N87:N106)=0,"",SUM(N87:N106))</f>
        <v/>
      </c>
      <c r="O107" s="78" t="str">
        <f aca="false">IF(COUNT(O87:O106)=0,"",SUM(O87:O106))</f>
        <v/>
      </c>
      <c r="P107" s="78" t="str">
        <f aca="false">IF(COUNT(P87:P106)=0,"",SUM(P87:P106))</f>
        <v/>
      </c>
      <c r="Q107" s="78" t="str">
        <f aca="false">IF(COUNT(Q87:Q106)=0,"",SUM(Q87:Q106))</f>
        <v/>
      </c>
      <c r="R107" s="78" t="str">
        <f aca="false">IF(COUNT(R87:R106)=0,"",SUM(R87:R106))</f>
        <v/>
      </c>
      <c r="S107" s="78" t="str">
        <f aca="false">IF(COUNT(S87:S106)=0,"",SUM(S87:S106))</f>
        <v/>
      </c>
      <c r="T107" s="78" t="str">
        <f aca="false">IF(COUNT(T87:T106)=0,"",SUM(T87:T106))</f>
        <v/>
      </c>
    </row>
    <row r="108" customFormat="false" ht="15" hidden="false" customHeight="false" outlineLevel="0" collapsed="false">
      <c r="A108" s="69" t="s">
        <v>395</v>
      </c>
      <c r="B108" s="69"/>
      <c r="C108" s="69"/>
      <c r="D108" s="69"/>
      <c r="E108" s="69"/>
      <c r="F108" s="69"/>
      <c r="G108" s="69"/>
      <c r="H108" s="69"/>
      <c r="I108" s="69"/>
      <c r="J108" s="69"/>
      <c r="K108" s="69"/>
      <c r="L108" s="69"/>
      <c r="M108" s="69"/>
      <c r="N108" s="69"/>
      <c r="O108" s="69"/>
      <c r="P108" s="69"/>
      <c r="Q108" s="69"/>
      <c r="R108" s="69"/>
      <c r="S108" s="69"/>
      <c r="T108" s="69"/>
    </row>
  </sheetData>
  <mergeCells count="84">
    <mergeCell ref="A2:J2"/>
    <mergeCell ref="A3:J3"/>
    <mergeCell ref="A4:J4"/>
    <mergeCell ref="A5:J5"/>
    <mergeCell ref="A6:J6"/>
    <mergeCell ref="A7:J7"/>
    <mergeCell ref="A8:J8"/>
    <mergeCell ref="A10:C10"/>
    <mergeCell ref="D10:J10"/>
    <mergeCell ref="A11:C11"/>
    <mergeCell ref="D11:J11"/>
    <mergeCell ref="A12:C12"/>
    <mergeCell ref="D12:J12"/>
    <mergeCell ref="A13:C13"/>
    <mergeCell ref="D13:J13"/>
    <mergeCell ref="A14:C14"/>
    <mergeCell ref="D14:J14"/>
    <mergeCell ref="G17:J17"/>
    <mergeCell ref="G18:J18"/>
    <mergeCell ref="G19:J19"/>
    <mergeCell ref="A20:D20"/>
    <mergeCell ref="A21:J21"/>
    <mergeCell ref="A24:C24"/>
    <mergeCell ref="A25:C25"/>
    <mergeCell ref="E25:J25"/>
    <mergeCell ref="A26:C26"/>
    <mergeCell ref="E26:J26"/>
    <mergeCell ref="A27:C27"/>
    <mergeCell ref="A28:C28"/>
    <mergeCell ref="A29:C29"/>
    <mergeCell ref="E29:J29"/>
    <mergeCell ref="A30:J30"/>
    <mergeCell ref="A31:J31"/>
    <mergeCell ref="A34:C34"/>
    <mergeCell ref="E34:J34"/>
    <mergeCell ref="A35:C35"/>
    <mergeCell ref="E35:J35"/>
    <mergeCell ref="A36:C36"/>
    <mergeCell ref="E36:J36"/>
    <mergeCell ref="A37:C37"/>
    <mergeCell ref="E37:J37"/>
    <mergeCell ref="A38:C38"/>
    <mergeCell ref="A39:C39"/>
    <mergeCell ref="A40:C40"/>
    <mergeCell ref="A41:C41"/>
    <mergeCell ref="E41:J41"/>
    <mergeCell ref="A47:G47"/>
    <mergeCell ref="A50:C50"/>
    <mergeCell ref="A51:C51"/>
    <mergeCell ref="A52:C52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2:C62"/>
    <mergeCell ref="A63:C63"/>
    <mergeCell ref="A64:C64"/>
    <mergeCell ref="A65:C65"/>
    <mergeCell ref="A66:C66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7:J77"/>
    <mergeCell ref="A78:J78"/>
    <mergeCell ref="A80:J80"/>
    <mergeCell ref="A84:T84"/>
    <mergeCell ref="C85:E85"/>
    <mergeCell ref="F85:H85"/>
    <mergeCell ref="I85:K85"/>
    <mergeCell ref="L85:N85"/>
    <mergeCell ref="O85:Q85"/>
    <mergeCell ref="R85:T85"/>
    <mergeCell ref="A108:T108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T10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6"/>
    <col collapsed="false" customWidth="true" hidden="false" outlineLevel="0" max="2" min="2" style="0" width="22"/>
    <col collapsed="false" customWidth="true" hidden="false" outlineLevel="0" max="3" min="3" style="0" width="11"/>
    <col collapsed="false" customWidth="true" hidden="false" outlineLevel="0" max="4" min="4" style="0" width="14"/>
    <col collapsed="false" customWidth="true" hidden="false" outlineLevel="0" max="6" min="5" style="0" width="12"/>
    <col collapsed="false" customWidth="true" hidden="false" outlineLevel="0" max="7" min="7" style="0" width="14"/>
    <col collapsed="false" customWidth="true" hidden="false" outlineLevel="0" max="9" min="8" style="0" width="13"/>
    <col collapsed="false" customWidth="true" hidden="false" outlineLevel="0" max="10" min="10" style="0" width="26"/>
  </cols>
  <sheetData>
    <row r="1" customFormat="false" ht="16.15" hidden="false" customHeight="false" outlineLevel="0" collapsed="false">
      <c r="A1" s="3" t="s">
        <v>946</v>
      </c>
    </row>
    <row r="2" customFormat="false" ht="25.5" hidden="false" customHeight="true" outlineLevel="0" collapsed="false">
      <c r="A2" s="12" t="s">
        <v>251</v>
      </c>
      <c r="B2" s="12"/>
      <c r="C2" s="12"/>
      <c r="D2" s="12"/>
      <c r="E2" s="12"/>
      <c r="F2" s="12"/>
      <c r="G2" s="12"/>
      <c r="H2" s="12"/>
      <c r="I2" s="12"/>
      <c r="J2" s="12"/>
    </row>
    <row r="3" customFormat="false" ht="15" hidden="false" customHeight="true" outlineLevel="0" collapsed="false">
      <c r="A3" s="16" t="s">
        <v>947</v>
      </c>
      <c r="B3" s="16"/>
      <c r="C3" s="16"/>
      <c r="D3" s="16"/>
      <c r="E3" s="16"/>
      <c r="F3" s="16"/>
      <c r="G3" s="16"/>
      <c r="H3" s="16"/>
      <c r="I3" s="16"/>
      <c r="J3" s="16"/>
    </row>
    <row r="4" customFormat="false" ht="30" hidden="false" customHeight="true" outlineLevel="0" collapsed="false">
      <c r="A4" s="17" t="s">
        <v>109</v>
      </c>
      <c r="B4" s="17"/>
      <c r="C4" s="17"/>
      <c r="D4" s="17"/>
      <c r="E4" s="17"/>
      <c r="F4" s="17"/>
      <c r="G4" s="17"/>
      <c r="H4" s="17"/>
      <c r="I4" s="17"/>
      <c r="J4" s="17"/>
    </row>
    <row r="5" customFormat="false" ht="15" hidden="false" customHeight="true" outlineLevel="0" collapsed="false">
      <c r="A5" s="79" t="s">
        <v>65</v>
      </c>
      <c r="B5" s="79"/>
      <c r="C5" s="79"/>
      <c r="D5" s="79"/>
      <c r="E5" s="79"/>
      <c r="F5" s="79"/>
      <c r="G5" s="79"/>
      <c r="H5" s="79"/>
      <c r="I5" s="79"/>
      <c r="J5" s="79"/>
    </row>
    <row r="6" customFormat="false" ht="15" hidden="false" customHeight="true" outlineLevel="0" collapsed="false">
      <c r="A6" s="19" t="s">
        <v>110</v>
      </c>
      <c r="B6" s="19"/>
      <c r="C6" s="19"/>
      <c r="D6" s="19"/>
      <c r="E6" s="19"/>
      <c r="F6" s="19"/>
      <c r="G6" s="19"/>
      <c r="H6" s="19"/>
      <c r="I6" s="19"/>
      <c r="J6" s="19"/>
    </row>
    <row r="7" customFormat="false" ht="23.85" hidden="false" customHeight="true" outlineLevel="0" collapsed="false">
      <c r="A7" s="20" t="s">
        <v>948</v>
      </c>
      <c r="B7" s="20"/>
      <c r="C7" s="20"/>
      <c r="D7" s="20"/>
      <c r="E7" s="20"/>
      <c r="F7" s="20"/>
      <c r="G7" s="20"/>
      <c r="H7" s="20"/>
      <c r="I7" s="20"/>
      <c r="J7" s="20"/>
    </row>
    <row r="8" customFormat="false" ht="15" hidden="false" customHeight="true" outlineLevel="0" collapsed="false">
      <c r="A8" s="21" t="s">
        <v>254</v>
      </c>
      <c r="B8" s="21"/>
      <c r="C8" s="21"/>
      <c r="D8" s="21"/>
      <c r="E8" s="21"/>
      <c r="F8" s="21"/>
      <c r="G8" s="21"/>
      <c r="H8" s="21"/>
      <c r="I8" s="21"/>
      <c r="J8" s="21"/>
    </row>
    <row r="10" customFormat="false" ht="15" hidden="false" customHeight="true" outlineLevel="0" collapsed="false">
      <c r="A10" s="22" t="s">
        <v>255</v>
      </c>
      <c r="B10" s="22"/>
      <c r="C10" s="22"/>
      <c r="D10" s="23" t="s">
        <v>949</v>
      </c>
      <c r="E10" s="23"/>
      <c r="F10" s="23"/>
      <c r="G10" s="23"/>
      <c r="H10" s="23"/>
      <c r="I10" s="23"/>
      <c r="J10" s="23"/>
    </row>
    <row r="11" customFormat="false" ht="15" hidden="false" customHeight="true" outlineLevel="0" collapsed="false">
      <c r="A11" s="22" t="s">
        <v>257</v>
      </c>
      <c r="B11" s="22"/>
      <c r="C11" s="22"/>
      <c r="D11" s="86"/>
      <c r="E11" s="86"/>
      <c r="F11" s="86"/>
      <c r="G11" s="86"/>
      <c r="H11" s="86"/>
      <c r="I11" s="86"/>
      <c r="J11" s="86"/>
    </row>
    <row r="12" customFormat="false" ht="15" hidden="false" customHeight="true" outlineLevel="0" collapsed="false">
      <c r="A12" s="22" t="s">
        <v>259</v>
      </c>
      <c r="B12" s="22"/>
      <c r="C12" s="22"/>
      <c r="D12" s="86"/>
      <c r="E12" s="86"/>
      <c r="F12" s="86"/>
      <c r="G12" s="86"/>
      <c r="H12" s="86"/>
      <c r="I12" s="86"/>
      <c r="J12" s="86"/>
    </row>
    <row r="13" customFormat="false" ht="15" hidden="false" customHeight="true" outlineLevel="0" collapsed="false">
      <c r="A13" s="22" t="s">
        <v>261</v>
      </c>
      <c r="B13" s="22"/>
      <c r="C13" s="22"/>
      <c r="D13" s="24" t="n">
        <v>1923070.88</v>
      </c>
      <c r="E13" s="24"/>
      <c r="F13" s="24"/>
      <c r="G13" s="24"/>
      <c r="H13" s="24"/>
      <c r="I13" s="24"/>
      <c r="J13" s="24"/>
    </row>
    <row r="14" customFormat="false" ht="46.25" hidden="false" customHeight="true" outlineLevel="0" collapsed="false">
      <c r="A14" s="22" t="s">
        <v>262</v>
      </c>
      <c r="B14" s="22"/>
      <c r="C14" s="22"/>
      <c r="D14" s="22" t="s">
        <v>950</v>
      </c>
      <c r="E14" s="22"/>
      <c r="F14" s="22"/>
      <c r="G14" s="22"/>
      <c r="H14" s="22"/>
      <c r="I14" s="22"/>
      <c r="J14" s="22"/>
    </row>
    <row r="16" customFormat="false" ht="15" hidden="false" customHeight="false" outlineLevel="0" collapsed="false">
      <c r="A16" s="25" t="s">
        <v>264</v>
      </c>
    </row>
    <row r="17" customFormat="false" ht="22.35" hidden="false" customHeight="true" outlineLevel="0" collapsed="false">
      <c r="A17" s="26" t="s">
        <v>265</v>
      </c>
      <c r="B17" s="26" t="s">
        <v>266</v>
      </c>
      <c r="C17" s="26" t="s">
        <v>267</v>
      </c>
      <c r="D17" s="26" t="s">
        <v>268</v>
      </c>
      <c r="E17" s="26" t="s">
        <v>269</v>
      </c>
      <c r="F17" s="26" t="s">
        <v>270</v>
      </c>
      <c r="G17" s="26" t="s">
        <v>271</v>
      </c>
      <c r="H17" s="26"/>
      <c r="I17" s="26"/>
      <c r="J17" s="26"/>
    </row>
    <row r="18" customFormat="false" ht="23.85" hidden="false" customHeight="true" outlineLevel="0" collapsed="false">
      <c r="A18" s="27" t="s">
        <v>951</v>
      </c>
      <c r="B18" s="28" t="s">
        <v>404</v>
      </c>
      <c r="C18" s="28" t="s">
        <v>952</v>
      </c>
      <c r="D18" s="80" t="n">
        <v>13335.23</v>
      </c>
      <c r="E18" s="30" t="n">
        <f aca="false">IF(D18="","",D18*12)</f>
        <v>160022.76</v>
      </c>
      <c r="F18" s="31" t="n">
        <v>9.4</v>
      </c>
      <c r="G18" s="32" t="s">
        <v>953</v>
      </c>
      <c r="H18" s="32"/>
      <c r="I18" s="32"/>
      <c r="J18" s="32"/>
    </row>
    <row r="19" customFormat="false" ht="15" hidden="false" customHeight="true" outlineLevel="0" collapsed="false">
      <c r="A19" s="27" t="s">
        <v>954</v>
      </c>
      <c r="B19" s="28" t="s">
        <v>955</v>
      </c>
      <c r="C19" s="28" t="s">
        <v>956</v>
      </c>
      <c r="D19" s="33"/>
      <c r="E19" s="30" t="str">
        <f aca="false">IF(D19="","",D19*12)</f>
        <v/>
      </c>
      <c r="F19" s="31" t="n">
        <v>0.6</v>
      </c>
      <c r="G19" s="32" t="s">
        <v>957</v>
      </c>
      <c r="H19" s="32"/>
      <c r="I19" s="32"/>
      <c r="J19" s="32"/>
    </row>
    <row r="20" customFormat="false" ht="15" hidden="false" customHeight="false" outlineLevel="0" collapsed="false">
      <c r="A20" s="34" t="s">
        <v>284</v>
      </c>
      <c r="B20" s="34"/>
      <c r="C20" s="34"/>
      <c r="D20" s="34"/>
      <c r="E20" s="35" t="n">
        <f aca="false">IF(SUMPRODUCT(E18:E19,F18:F19)=0,"",SUMPRODUCT(E18:E19,F18:F19))</f>
        <v>1504213.944</v>
      </c>
      <c r="F20" s="36"/>
      <c r="G20" s="36"/>
      <c r="H20" s="36"/>
      <c r="I20" s="36"/>
      <c r="J20" s="36"/>
    </row>
    <row r="21" customFormat="false" ht="15" hidden="false" customHeight="false" outlineLevel="0" collapsed="false">
      <c r="A21" s="37" t="s">
        <v>510</v>
      </c>
      <c r="B21" s="37"/>
      <c r="C21" s="37"/>
      <c r="D21" s="37"/>
      <c r="E21" s="37"/>
      <c r="F21" s="37"/>
      <c r="G21" s="37"/>
      <c r="H21" s="37"/>
      <c r="I21" s="37"/>
      <c r="J21" s="37"/>
    </row>
    <row r="23" customFormat="false" ht="15" hidden="false" customHeight="false" outlineLevel="0" collapsed="false">
      <c r="A23" s="25" t="s">
        <v>958</v>
      </c>
    </row>
    <row r="24" customFormat="false" ht="15" hidden="false" customHeight="true" outlineLevel="0" collapsed="false">
      <c r="A24" s="22" t="s">
        <v>287</v>
      </c>
      <c r="B24" s="22"/>
      <c r="C24" s="22"/>
      <c r="D24" s="35" t="n">
        <v>160022.81</v>
      </c>
      <c r="E24" s="36"/>
      <c r="F24" s="36"/>
      <c r="G24" s="36"/>
      <c r="H24" s="36"/>
      <c r="I24" s="36"/>
      <c r="J24" s="36"/>
    </row>
    <row r="25" customFormat="false" ht="15" hidden="false" customHeight="true" outlineLevel="0" collapsed="false">
      <c r="A25" s="22" t="s">
        <v>288</v>
      </c>
      <c r="B25" s="22"/>
      <c r="C25" s="22"/>
      <c r="D25" s="84" t="n">
        <v>0.0832121226857743</v>
      </c>
      <c r="E25" s="39" t="s">
        <v>289</v>
      </c>
      <c r="F25" s="39"/>
      <c r="G25" s="39"/>
      <c r="H25" s="39"/>
      <c r="I25" s="39"/>
      <c r="J25" s="39"/>
    </row>
    <row r="26" customFormat="false" ht="15" hidden="false" customHeight="true" outlineLevel="0" collapsed="false">
      <c r="A26" s="22" t="s">
        <v>959</v>
      </c>
      <c r="B26" s="22"/>
      <c r="C26" s="22"/>
      <c r="D26" s="35" t="n">
        <v>26400</v>
      </c>
      <c r="E26" s="39" t="s">
        <v>291</v>
      </c>
      <c r="F26" s="39"/>
      <c r="G26" s="39"/>
      <c r="H26" s="39"/>
      <c r="I26" s="39"/>
      <c r="J26" s="39"/>
    </row>
    <row r="27" customFormat="false" ht="15" hidden="false" customHeight="true" outlineLevel="0" collapsed="false">
      <c r="A27" s="22" t="s">
        <v>292</v>
      </c>
      <c r="B27" s="22"/>
      <c r="C27" s="22"/>
      <c r="D27" s="35" t="n">
        <v>0</v>
      </c>
      <c r="E27" s="36"/>
      <c r="F27" s="36"/>
      <c r="G27" s="36"/>
      <c r="H27" s="36"/>
      <c r="I27" s="36"/>
      <c r="J27" s="36"/>
    </row>
    <row r="28" customFormat="false" ht="15" hidden="false" customHeight="true" outlineLevel="0" collapsed="false">
      <c r="A28" s="22" t="s">
        <v>293</v>
      </c>
      <c r="B28" s="22"/>
      <c r="C28" s="22"/>
      <c r="D28" s="35" t="n">
        <v>186422.81</v>
      </c>
      <c r="E28" s="36"/>
      <c r="F28" s="36"/>
      <c r="G28" s="36"/>
      <c r="H28" s="36"/>
      <c r="I28" s="36"/>
      <c r="J28" s="36"/>
    </row>
    <row r="29" customFormat="false" ht="15" hidden="false" customHeight="true" outlineLevel="0" collapsed="false">
      <c r="A29" s="22" t="s">
        <v>294</v>
      </c>
      <c r="B29" s="22"/>
      <c r="C29" s="22"/>
      <c r="D29" s="84" t="n">
        <v>0.0969401658247771</v>
      </c>
      <c r="E29" s="39" t="s">
        <v>295</v>
      </c>
      <c r="F29" s="39"/>
      <c r="G29" s="39"/>
      <c r="H29" s="39"/>
      <c r="I29" s="39"/>
      <c r="J29" s="39"/>
    </row>
    <row r="30" customFormat="false" ht="27.75" hidden="false" customHeight="true" outlineLevel="0" collapsed="false">
      <c r="A30" s="40" t="s">
        <v>960</v>
      </c>
      <c r="B30" s="40"/>
      <c r="C30" s="40"/>
      <c r="D30" s="40"/>
      <c r="E30" s="40"/>
      <c r="F30" s="40"/>
      <c r="G30" s="40"/>
      <c r="H30" s="40"/>
      <c r="I30" s="40"/>
      <c r="J30" s="40"/>
    </row>
    <row r="31" customFormat="false" ht="15" hidden="false" customHeight="false" outlineLevel="0" collapsed="false">
      <c r="A31" s="85" t="s">
        <v>961</v>
      </c>
      <c r="B31" s="85"/>
      <c r="C31" s="85"/>
      <c r="D31" s="85"/>
      <c r="E31" s="85"/>
      <c r="F31" s="85"/>
      <c r="G31" s="85"/>
      <c r="H31" s="85"/>
      <c r="I31" s="85"/>
      <c r="J31" s="85"/>
    </row>
    <row r="33" customFormat="false" ht="15" hidden="false" customHeight="false" outlineLevel="0" collapsed="false">
      <c r="A33" s="25" t="s">
        <v>298</v>
      </c>
    </row>
    <row r="34" customFormat="false" ht="15" hidden="false" customHeight="true" outlineLevel="0" collapsed="false">
      <c r="A34" s="22" t="s">
        <v>299</v>
      </c>
      <c r="B34" s="22"/>
      <c r="C34" s="22"/>
      <c r="D34" s="42" t="n">
        <v>0</v>
      </c>
      <c r="E34" s="43" t="s">
        <v>300</v>
      </c>
      <c r="F34" s="43"/>
      <c r="G34" s="43"/>
      <c r="H34" s="43"/>
      <c r="I34" s="43"/>
      <c r="J34" s="43"/>
    </row>
    <row r="35" customFormat="false" ht="15" hidden="false" customHeight="true" outlineLevel="0" collapsed="false">
      <c r="A35" s="22" t="s">
        <v>301</v>
      </c>
      <c r="B35" s="22"/>
      <c r="C35" s="22"/>
      <c r="D35" s="34" t="s">
        <v>302</v>
      </c>
      <c r="E35" s="43" t="s">
        <v>303</v>
      </c>
      <c r="F35" s="43"/>
      <c r="G35" s="43"/>
      <c r="H35" s="43"/>
      <c r="I35" s="43"/>
      <c r="J35" s="43"/>
    </row>
    <row r="36" customFormat="false" ht="15" hidden="false" customHeight="true" outlineLevel="0" collapsed="false">
      <c r="A36" s="22" t="s">
        <v>304</v>
      </c>
      <c r="B36" s="22"/>
      <c r="C36" s="22"/>
      <c r="D36" s="44"/>
      <c r="E36" s="43" t="s">
        <v>305</v>
      </c>
      <c r="F36" s="43"/>
      <c r="G36" s="43"/>
      <c r="H36" s="43"/>
      <c r="I36" s="43"/>
      <c r="J36" s="43"/>
    </row>
    <row r="37" customFormat="false" ht="23.85" hidden="false" customHeight="true" outlineLevel="0" collapsed="false">
      <c r="A37" s="22" t="s">
        <v>306</v>
      </c>
      <c r="B37" s="22"/>
      <c r="C37" s="22"/>
      <c r="D37" s="45" t="str">
        <f aca="false">IF(OR($D$34="",E18=""),"",IF($D$34=0,"— (no % rent)",E18/$D$34))</f>
        <v>— (no % rent)</v>
      </c>
      <c r="E37" s="43" t="s">
        <v>307</v>
      </c>
      <c r="F37" s="43"/>
      <c r="G37" s="43"/>
      <c r="H37" s="43"/>
      <c r="I37" s="43"/>
      <c r="J37" s="43"/>
    </row>
    <row r="38" customFormat="false" ht="23.85" hidden="false" customHeight="true" outlineLevel="0" collapsed="false">
      <c r="A38" s="22" t="s">
        <v>308</v>
      </c>
      <c r="B38" s="22"/>
      <c r="C38" s="22"/>
      <c r="D38" s="45" t="str">
        <f aca="false">IF($D$34="","",IF($D$34=0,"— (no % rent)",IF($D$36&lt;&gt;"",$D$36,IF(E18="","",E18/$D$34))))</f>
        <v>— (no % rent)</v>
      </c>
      <c r="E38" s="36"/>
      <c r="F38" s="36"/>
      <c r="G38" s="36"/>
      <c r="H38" s="36"/>
      <c r="I38" s="36"/>
      <c r="J38" s="36"/>
    </row>
    <row r="39" customFormat="false" ht="15" hidden="false" customHeight="true" outlineLevel="0" collapsed="false">
      <c r="A39" s="22" t="s">
        <v>309</v>
      </c>
      <c r="B39" s="22"/>
      <c r="C39" s="22"/>
      <c r="D39" s="45" t="n">
        <f aca="false">IF(OR($D$34="",D13=""),"",IF($D$34=0,0,IF($D$38="","",MAX(0,D13-$D$38)*$D$34)))</f>
        <v>0</v>
      </c>
      <c r="E39" s="36"/>
      <c r="F39" s="36"/>
      <c r="G39" s="36"/>
      <c r="H39" s="36"/>
      <c r="I39" s="36"/>
      <c r="J39" s="36"/>
    </row>
    <row r="40" customFormat="false" ht="15" hidden="false" customHeight="true" outlineLevel="0" collapsed="false">
      <c r="A40" s="22" t="s">
        <v>310</v>
      </c>
      <c r="B40" s="22"/>
      <c r="C40" s="22"/>
      <c r="D40" s="45" t="n">
        <f aca="false">IF(OR(D39="",E18=""),"",E18+D39)</f>
        <v>160022.76</v>
      </c>
      <c r="E40" s="36"/>
      <c r="F40" s="36"/>
      <c r="G40" s="36"/>
      <c r="H40" s="36"/>
      <c r="I40" s="36"/>
      <c r="J40" s="36"/>
    </row>
    <row r="41" customFormat="false" ht="15" hidden="false" customHeight="true" outlineLevel="0" collapsed="false">
      <c r="A41" s="22" t="s">
        <v>311</v>
      </c>
      <c r="B41" s="22"/>
      <c r="C41" s="22"/>
      <c r="D41" s="46" t="n">
        <f aca="false">IF(OR(D40="",D13=""),"",D40/D13)</f>
        <v>0.0832120966856926</v>
      </c>
      <c r="E41" s="36"/>
      <c r="F41" s="36"/>
      <c r="G41" s="36"/>
      <c r="H41" s="36"/>
      <c r="I41" s="36"/>
      <c r="J41" s="36"/>
    </row>
    <row r="43" customFormat="false" ht="15" hidden="false" customHeight="false" outlineLevel="0" collapsed="false">
      <c r="A43" s="25" t="s">
        <v>312</v>
      </c>
    </row>
    <row r="44" customFormat="false" ht="22.35" hidden="false" customHeight="false" outlineLevel="0" collapsed="false">
      <c r="A44" s="26" t="s">
        <v>313</v>
      </c>
      <c r="B44" s="26" t="s">
        <v>314</v>
      </c>
      <c r="C44" s="26" t="s">
        <v>315</v>
      </c>
      <c r="D44" s="26" t="s">
        <v>316</v>
      </c>
      <c r="E44" s="26" t="s">
        <v>317</v>
      </c>
      <c r="F44" s="26" t="s">
        <v>318</v>
      </c>
      <c r="G44" s="26" t="s">
        <v>319</v>
      </c>
      <c r="H44" s="26" t="s">
        <v>269</v>
      </c>
      <c r="I44" s="26" t="s">
        <v>320</v>
      </c>
      <c r="J44" s="26" t="s">
        <v>321</v>
      </c>
    </row>
    <row r="45" customFormat="false" ht="53.7" hidden="false" customHeight="false" outlineLevel="0" collapsed="false">
      <c r="A45" s="48"/>
      <c r="B45" s="47" t="s">
        <v>962</v>
      </c>
      <c r="C45" s="48"/>
      <c r="D45" s="48"/>
      <c r="E45" s="48"/>
      <c r="F45" s="48"/>
      <c r="G45" s="48"/>
      <c r="H45" s="48"/>
      <c r="I45" s="48"/>
      <c r="J45" s="47" t="s">
        <v>423</v>
      </c>
    </row>
    <row r="46" customFormat="false" ht="15" hidden="false" customHeight="false" outlineLevel="0" collapsed="false">
      <c r="A46" s="52" t="s">
        <v>344</v>
      </c>
      <c r="B46" s="52"/>
      <c r="C46" s="52"/>
      <c r="D46" s="52"/>
      <c r="E46" s="52"/>
      <c r="F46" s="52"/>
      <c r="G46" s="52"/>
      <c r="H46" s="53" t="str">
        <f aca="false">IF(COUNT(H45:H45)=0,"",AVERAGE(H45:H45))</f>
        <v/>
      </c>
      <c r="I46" s="52" t="str">
        <f aca="false">IF(COUNT(H45:H45)=0,"",TEXT(MIN(H45:H45),"$#,##0")&amp;" – "&amp;TEXT(MAX(H45:H45),"$#,##0"))</f>
        <v/>
      </c>
      <c r="J46" s="36"/>
    </row>
    <row r="48" customFormat="false" ht="15" hidden="false" customHeight="false" outlineLevel="0" collapsed="false">
      <c r="A48" s="25" t="s">
        <v>345</v>
      </c>
    </row>
    <row r="49" customFormat="false" ht="53.7" hidden="false" customHeight="true" outlineLevel="0" collapsed="false">
      <c r="A49" s="26" t="s">
        <v>346</v>
      </c>
      <c r="B49" s="26"/>
      <c r="C49" s="26"/>
      <c r="D49" s="26" t="s">
        <v>347</v>
      </c>
      <c r="E49" s="26" t="s">
        <v>348</v>
      </c>
      <c r="F49" s="26" t="s">
        <v>349</v>
      </c>
      <c r="G49" s="26" t="s">
        <v>350</v>
      </c>
      <c r="H49" s="54" t="s">
        <v>351</v>
      </c>
    </row>
    <row r="50" customFormat="false" ht="68.65" hidden="false" customHeight="true" outlineLevel="0" collapsed="false">
      <c r="A50" s="22" t="s">
        <v>352</v>
      </c>
      <c r="B50" s="22"/>
      <c r="C50" s="22"/>
      <c r="D50" s="55" t="s">
        <v>353</v>
      </c>
      <c r="E50" s="56"/>
      <c r="F50" s="56"/>
      <c r="G50" s="56"/>
      <c r="H50" s="56"/>
    </row>
    <row r="51" customFormat="false" ht="15" hidden="false" customHeight="true" outlineLevel="0" collapsed="false">
      <c r="A51" s="22" t="s">
        <v>354</v>
      </c>
      <c r="B51" s="22"/>
      <c r="C51" s="22"/>
      <c r="D51" s="57" t="n">
        <v>160023</v>
      </c>
      <c r="E51" s="57"/>
      <c r="F51" s="57"/>
      <c r="G51" s="57"/>
      <c r="H51" s="57"/>
    </row>
    <row r="52" customFormat="false" ht="15" hidden="false" customHeight="true" outlineLevel="0" collapsed="false">
      <c r="A52" s="22" t="s">
        <v>355</v>
      </c>
      <c r="B52" s="22"/>
      <c r="C52" s="22"/>
      <c r="D52" s="58" t="n">
        <v>0.02</v>
      </c>
      <c r="E52" s="58"/>
      <c r="F52" s="58"/>
      <c r="G52" s="58"/>
      <c r="H52" s="58"/>
    </row>
    <row r="53" customFormat="false" ht="15" hidden="false" customHeight="true" outlineLevel="0" collapsed="false">
      <c r="A53" s="22" t="s">
        <v>356</v>
      </c>
      <c r="B53" s="22"/>
      <c r="C53" s="22"/>
      <c r="D53" s="56" t="n">
        <v>5</v>
      </c>
      <c r="E53" s="56"/>
      <c r="F53" s="56"/>
      <c r="G53" s="56"/>
      <c r="H53" s="56"/>
    </row>
    <row r="54" customFormat="false" ht="15" hidden="false" customHeight="true" outlineLevel="0" collapsed="false">
      <c r="A54" s="22" t="s">
        <v>357</v>
      </c>
      <c r="B54" s="22"/>
      <c r="C54" s="22"/>
      <c r="D54" s="59" t="n">
        <v>20</v>
      </c>
      <c r="E54" s="59"/>
      <c r="F54" s="59"/>
      <c r="G54" s="59"/>
      <c r="H54" s="59"/>
    </row>
    <row r="55" customFormat="false" ht="15" hidden="false" customHeight="true" outlineLevel="0" collapsed="false">
      <c r="A55" s="22" t="s">
        <v>358</v>
      </c>
      <c r="B55" s="22"/>
      <c r="C55" s="22"/>
      <c r="D55" s="60" t="n">
        <f aca="false">IF(OR(D51="",E18=""),"",D51-E18)</f>
        <v>0.239999999990687</v>
      </c>
      <c r="E55" s="60" t="str">
        <f aca="false">IF(OR(E51="",E18=""),"",E51-E18)</f>
        <v/>
      </c>
      <c r="F55" s="60" t="str">
        <f aca="false">IF(OR(F51="",E18=""),"",F51-E18)</f>
        <v/>
      </c>
      <c r="G55" s="60" t="str">
        <f aca="false">IF(OR(G51="",E18=""),"",G51-E18)</f>
        <v/>
      </c>
      <c r="H55" s="60" t="str">
        <f aca="false">IF(OR(H51="",E18=""),"",H51-E18)</f>
        <v/>
      </c>
    </row>
    <row r="56" customFormat="false" ht="15" hidden="false" customHeight="true" outlineLevel="0" collapsed="false">
      <c r="A56" s="22" t="s">
        <v>359</v>
      </c>
      <c r="B56" s="22"/>
      <c r="C56" s="22"/>
      <c r="D56" s="61" t="n">
        <f aca="false">IF(OR(D51="",E18=""),"",(D51-E18)/E18)</f>
        <v>1.49978665529008E-006</v>
      </c>
      <c r="E56" s="61" t="str">
        <f aca="false">IF(OR(E51="",E18=""),"",(E51-E18)/E18)</f>
        <v/>
      </c>
      <c r="F56" s="61" t="str">
        <f aca="false">IF(OR(F51="",E18=""),"",(F51-E18)/E18)</f>
        <v/>
      </c>
      <c r="G56" s="61" t="str">
        <f aca="false">IF(OR(G51="",E18=""),"",(G51-E18)/E18)</f>
        <v/>
      </c>
      <c r="H56" s="61" t="str">
        <f aca="false">IF(OR(H51="",E18=""),"",(H51-E18)/E18)</f>
        <v/>
      </c>
    </row>
    <row r="57" customFormat="false" ht="15" hidden="false" customHeight="true" outlineLevel="0" collapsed="false">
      <c r="A57" s="22" t="s">
        <v>360</v>
      </c>
      <c r="B57" s="22"/>
      <c r="C57" s="22"/>
      <c r="D57" s="62" t="n">
        <f aca="false">IF(OR(D51="",D13=""),"",D51/D13)</f>
        <v>0.0832122214860848</v>
      </c>
      <c r="E57" s="62" t="str">
        <f aca="false">IF(OR(E51="",D13=""),"",E51/D13)</f>
        <v/>
      </c>
      <c r="F57" s="62" t="str">
        <f aca="false">IF(OR(F51="",D13=""),"",F51/D13)</f>
        <v/>
      </c>
      <c r="G57" s="62" t="str">
        <f aca="false">IF(OR(G51="",D13=""),"",G51/D13)</f>
        <v/>
      </c>
      <c r="H57" s="62" t="str">
        <f aca="false">IF(OR(H51="",D13=""),"",H51/D13)</f>
        <v/>
      </c>
    </row>
    <row r="58" customFormat="false" ht="15" hidden="false" customHeight="true" outlineLevel="0" collapsed="false">
      <c r="A58" s="22" t="s">
        <v>361</v>
      </c>
      <c r="B58" s="22"/>
      <c r="C58" s="22"/>
      <c r="D58" s="61" t="str">
        <f aca="false">IF(OR(D51="",H46=""),"",(D51-H46)/H46)</f>
        <v/>
      </c>
      <c r="E58" s="61" t="str">
        <f aca="false">IF(OR(E51="",H46=""),"",(E51-H46)/H46)</f>
        <v/>
      </c>
      <c r="F58" s="61" t="str">
        <f aca="false">IF(OR(F51="",H46=""),"",(F51-H46)/H46)</f>
        <v/>
      </c>
      <c r="G58" s="61" t="str">
        <f aca="false">IF(OR(G51="",H46=""),"",(G51-H46)/H46)</f>
        <v/>
      </c>
      <c r="H58" s="61" t="str">
        <f aca="false">IF(OR(H51="",H46=""),"",(H51-H46)/H46)</f>
        <v/>
      </c>
    </row>
    <row r="59" customFormat="false" ht="15" hidden="false" customHeight="true" outlineLevel="0" collapsed="false">
      <c r="A59" s="22" t="s">
        <v>362</v>
      </c>
      <c r="B59" s="22"/>
      <c r="C59" s="22"/>
      <c r="D59" s="63" t="n">
        <f aca="true">IF(D51="","",SUMPRODUCT(D51*(1+IF(D52="",0,D52))^ROUNDDOWN((ROW(INDIRECT("1:10"))-1)/IF(D53="",5,D53),0)))</f>
        <v>1616232.3</v>
      </c>
      <c r="E59" s="63" t="str">
        <f aca="true">IF(E51="","",SUMPRODUCT(E51*(1+IF(E52="",0,E52))^ROUNDDOWN((ROW(INDIRECT("1:10"))-1)/IF(E53="",5,E53),0)))</f>
        <v/>
      </c>
      <c r="F59" s="63" t="str">
        <f aca="true">IF(F51="","",SUMPRODUCT(F51*(1+IF(F52="",0,F52))^ROUNDDOWN((ROW(INDIRECT("1:10"))-1)/IF(F53="",5,F53),0)))</f>
        <v/>
      </c>
      <c r="G59" s="63" t="str">
        <f aca="true">IF(G51="","",SUMPRODUCT(G51*(1+IF(G52="",0,G52))^ROUNDDOWN((ROW(INDIRECT("1:10"))-1)/IF(G53="",5,G53),0)))</f>
        <v/>
      </c>
      <c r="H59" s="63" t="str">
        <f aca="true">IF(H51="","",SUMPRODUCT(H51*(1+IF(H52="",0,H52))^ROUNDDOWN((ROW(INDIRECT("1:10"))-1)/IF(H53="",5,H53),0)))</f>
        <v/>
      </c>
    </row>
    <row r="60" customFormat="false" ht="15" hidden="false" customHeight="true" outlineLevel="0" collapsed="false">
      <c r="A60" s="22" t="s">
        <v>363</v>
      </c>
      <c r="B60" s="22"/>
      <c r="C60" s="22"/>
      <c r="D60" s="60" t="n">
        <f aca="false">IF(OR(D59="",E20=""),"",D59-E20)</f>
        <v>112018.356</v>
      </c>
      <c r="E60" s="60" t="str">
        <f aca="false">IF(OR(E59="",E20=""),"",E59-E20)</f>
        <v/>
      </c>
      <c r="F60" s="60" t="str">
        <f aca="false">IF(OR(F59="",E20=""),"",F59-E20)</f>
        <v/>
      </c>
      <c r="G60" s="60" t="str">
        <f aca="false">IF(OR(G59="",E20=""),"",G59-E20)</f>
        <v/>
      </c>
      <c r="H60" s="60" t="str">
        <f aca="false">IF(OR(H59="",E20=""),"",H59-E20)</f>
        <v/>
      </c>
    </row>
    <row r="61" customFormat="false" ht="23.85" hidden="false" customHeight="true" outlineLevel="0" collapsed="false">
      <c r="A61" s="22" t="s">
        <v>364</v>
      </c>
      <c r="B61" s="22"/>
      <c r="C61" s="22"/>
      <c r="D61" s="58"/>
      <c r="E61" s="58"/>
      <c r="F61" s="58"/>
      <c r="G61" s="58"/>
      <c r="H61" s="58"/>
    </row>
    <row r="62" customFormat="false" ht="23.85" hidden="false" customHeight="true" outlineLevel="0" collapsed="false">
      <c r="A62" s="22" t="s">
        <v>365</v>
      </c>
      <c r="B62" s="22"/>
      <c r="C62" s="22"/>
      <c r="D62" s="57"/>
      <c r="E62" s="57"/>
      <c r="F62" s="57"/>
      <c r="G62" s="57"/>
      <c r="H62" s="57"/>
    </row>
    <row r="63" customFormat="false" ht="15" hidden="false" customHeight="true" outlineLevel="0" collapsed="false">
      <c r="A63" s="22" t="s">
        <v>366</v>
      </c>
      <c r="B63" s="22"/>
      <c r="C63" s="22"/>
      <c r="D63" s="63" t="str">
        <f aca="false">IF(OR(D51="",AND(D61="",$D$34="")),"",IF(IF(D61="",IF($D$34="",0,$D$34),D61)=0,"— (% rent removed)",IF(D62&lt;&gt;"",D62,IF($D$36&lt;&gt;"",$D$36,D51/IF(D61="",IF($D$34="",0,$D$34),D61)))))</f>
        <v>— (% rent removed)</v>
      </c>
      <c r="E63" s="63" t="str">
        <f aca="false">IF(OR(E51="",AND(E61="",$D$34="")),"",IF(IF(E61="",IF($D$34="",0,$D$34),E61)=0,"— (% rent removed)",IF(E62&lt;&gt;"",E62,IF($D$36&lt;&gt;"",$D$36,E51/IF(E61="",IF($D$34="",0,$D$34),E61)))))</f>
        <v/>
      </c>
      <c r="F63" s="63" t="str">
        <f aca="false">IF(OR(F51="",AND(F61="",$D$34="")),"",IF(IF(F61="",IF($D$34="",0,$D$34),F61)=0,"— (% rent removed)",IF(F62&lt;&gt;"",F62,IF($D$36&lt;&gt;"",$D$36,F51/IF(F61="",IF($D$34="",0,$D$34),F61)))))</f>
        <v/>
      </c>
      <c r="G63" s="63" t="str">
        <f aca="false">IF(OR(G51="",AND(G61="",$D$34="")),"",IF(IF(G61="",IF($D$34="",0,$D$34),G61)=0,"— (% rent removed)",IF(G62&lt;&gt;"",G62,IF($D$36&lt;&gt;"",$D$36,G51/IF(G61="",IF($D$34="",0,$D$34),G61)))))</f>
        <v/>
      </c>
      <c r="H63" s="63" t="str">
        <f aca="false">IF(OR(H51="",AND(H61="",$D$34="")),"",IF(IF(H61="",IF($D$34="",0,$D$34),H61)=0,"— (% rent removed)",IF(H62&lt;&gt;"",H62,IF($D$36&lt;&gt;"",$D$36,H51/IF(H61="",IF($D$34="",0,$D$34),H61)))))</f>
        <v/>
      </c>
    </row>
    <row r="64" customFormat="false" ht="15" hidden="false" customHeight="true" outlineLevel="0" collapsed="false">
      <c r="A64" s="22" t="s">
        <v>367</v>
      </c>
      <c r="B64" s="22"/>
      <c r="C64" s="22"/>
      <c r="D64" s="63" t="n">
        <f aca="false">IF(OR(D51="",AND(D61="",$D$34=""),D13=""),"",IF(IF(D61="",IF($D$34="",0,$D$34),D61)=0,0,MAX(0,D13-D63)*IF(D61="",IF($D$34="",0,$D$34),D61)))</f>
        <v>0</v>
      </c>
      <c r="E64" s="63" t="str">
        <f aca="false">IF(OR(E51="",AND(E61="",$D$34=""),D13=""),"",IF(IF(E61="",IF($D$34="",0,$D$34),E61)=0,0,MAX(0,D13-E63)*IF(E61="",IF($D$34="",0,$D$34),E61)))</f>
        <v/>
      </c>
      <c r="F64" s="63" t="str">
        <f aca="false">IF(OR(F51="",AND(F61="",$D$34=""),D13=""),"",IF(IF(F61="",IF($D$34="",0,$D$34),F61)=0,0,MAX(0,D13-F63)*IF(F61="",IF($D$34="",0,$D$34),F61)))</f>
        <v/>
      </c>
      <c r="G64" s="63" t="str">
        <f aca="false">IF(OR(G51="",AND(G61="",$D$34=""),D13=""),"",IF(IF(G61="",IF($D$34="",0,$D$34),G61)=0,0,MAX(0,D13-G63)*IF(G61="",IF($D$34="",0,$D$34),G61)))</f>
        <v/>
      </c>
      <c r="H64" s="63" t="str">
        <f aca="false">IF(OR(H51="",AND(H61="",$D$34=""),D13=""),"",IF(IF(H61="",IF($D$34="",0,$D$34),H61)=0,0,MAX(0,D13-H63)*IF(H61="",IF($D$34="",0,$D$34),H61)))</f>
        <v/>
      </c>
    </row>
    <row r="65" customFormat="false" ht="15" hidden="false" customHeight="true" outlineLevel="0" collapsed="false">
      <c r="A65" s="22" t="s">
        <v>368</v>
      </c>
      <c r="B65" s="22"/>
      <c r="C65" s="22"/>
      <c r="D65" s="63" t="n">
        <f aca="false">IF(OR(D51="",D64=""),"",D51+D64)</f>
        <v>160023</v>
      </c>
      <c r="E65" s="63" t="str">
        <f aca="false">IF(OR(E51="",E64=""),"",E51+E64)</f>
        <v/>
      </c>
      <c r="F65" s="63" t="str">
        <f aca="false">IF(OR(F51="",F64=""),"",F51+F64)</f>
        <v/>
      </c>
      <c r="G65" s="63" t="str">
        <f aca="false">IF(OR(G51="",G64=""),"",G51+G64)</f>
        <v/>
      </c>
      <c r="H65" s="63" t="str">
        <f aca="false">IF(OR(H51="",H64=""),"",H51+H64)</f>
        <v/>
      </c>
    </row>
    <row r="66" customFormat="false" ht="15" hidden="false" customHeight="true" outlineLevel="0" collapsed="false">
      <c r="A66" s="22" t="s">
        <v>369</v>
      </c>
      <c r="B66" s="22"/>
      <c r="C66" s="22"/>
      <c r="D66" s="62" t="n">
        <f aca="false">IF(OR(D65="",D13=""),"",D65/D13)</f>
        <v>0.0832122214860848</v>
      </c>
      <c r="E66" s="62" t="str">
        <f aca="false">IF(OR(E65="",D13=""),"",E65/D13)</f>
        <v/>
      </c>
      <c r="F66" s="62" t="str">
        <f aca="false">IF(OR(F65="",D13=""),"",F65/D13)</f>
        <v/>
      </c>
      <c r="G66" s="62" t="str">
        <f aca="false">IF(OR(G65="",D13=""),"",G65/D13)</f>
        <v/>
      </c>
      <c r="H66" s="62" t="str">
        <f aca="false">IF(OR(H65="",D13=""),"",H65/D13)</f>
        <v/>
      </c>
    </row>
    <row r="67" customFormat="false" ht="23.85" hidden="false" customHeight="true" outlineLevel="0" collapsed="false">
      <c r="A67" s="22" t="s">
        <v>370</v>
      </c>
      <c r="B67" s="22"/>
      <c r="C67" s="22"/>
      <c r="D67" s="64" t="n">
        <f aca="false">IF(D65="","",(549652.17-D65)/1923070.88)</f>
        <v>0.202607805074767</v>
      </c>
      <c r="E67" s="64" t="str">
        <f aca="false">IF(E65="","",(549652.17-E65)/1923070.88)</f>
        <v/>
      </c>
      <c r="F67" s="64" t="str">
        <f aca="false">IF(F65="","",(549652.17-F65)/1923070.88)</f>
        <v/>
      </c>
      <c r="G67" s="64" t="str">
        <f aca="false">IF(G65="","",(549652.17-G65)/1923070.88)</f>
        <v/>
      </c>
      <c r="H67" s="64" t="str">
        <f aca="false">IF(H65="","",(549652.17-H65)/1923070.88)</f>
        <v/>
      </c>
    </row>
    <row r="68" customFormat="false" ht="15" hidden="false" customHeight="true" outlineLevel="0" collapsed="false">
      <c r="A68" s="22" t="s">
        <v>371</v>
      </c>
      <c r="B68" s="22"/>
      <c r="C68" s="22"/>
      <c r="D68" s="63" t="n">
        <f aca="true">IF(OR(D51="",AND(D61="",$D$34=""),D13=""),"",IF(IF(D61="",IF($D$34="",0,$D$34),D61)=0,0,SUMPRODUCT(((D13*1.02^(ROW(INDIRECT("1:10"))-1))-(IF(D62&lt;&gt;"",D62,IF($D$36&lt;&gt;"",$D$36,(D51*(1+IF(D52="",0,D52))^ROUNDDOWN((ROW(INDIRECT("1:10"))-1)/IF(D53="",5,D53),0))/IF(D61="",IF($D$34="",0,$D$34),D61))))&gt;0)*((D13*1.02^(ROW(INDIRECT("1:10"))-1))-(IF(D62&lt;&gt;"",D62,IF($D$36&lt;&gt;"",$D$36,(D51*(1+IF(D52="",0,D52))^ROUNDDOWN((ROW(INDIRECT("1:10"))-1)/IF(D53="",5,D53),0))/IF(D61="",IF($D$34="",0,$D$34),D61))))))*IF(D61="",IF($D$34="",0,$D$34),D61)))</f>
        <v>0</v>
      </c>
      <c r="E68" s="63" t="str">
        <f aca="true">IF(OR(E51="",AND(E61="",$D$34=""),D13=""),"",IF(IF(E61="",IF($D$34="",0,$D$34),E61)=0,0,SUMPRODUCT(((D13*1.02^(ROW(INDIRECT("1:10"))-1))-(IF(E62&lt;&gt;"",E62,IF($D$36&lt;&gt;"",$D$36,(E51*(1+IF(E52="",0,E52))^ROUNDDOWN((ROW(INDIRECT("1:10"))-1)/IF(E53="",5,E53),0))/IF(E61="",IF($D$34="",0,$D$34),E61))))&gt;0)*((D13*1.02^(ROW(INDIRECT("1:10"))-1))-(IF(E62&lt;&gt;"",E62,IF($D$36&lt;&gt;"",$D$36,(E51*(1+IF(E52="",0,E52))^ROUNDDOWN((ROW(INDIRECT("1:10"))-1)/IF(E53="",5,E53),0))/IF(E61="",IF($D$34="",0,$D$34),E61))))))*IF(E61="",IF($D$34="",0,$D$34),E61)))</f>
        <v/>
      </c>
      <c r="F68" s="63" t="str">
        <f aca="true">IF(OR(F51="",AND(F61="",$D$34=""),D13=""),"",IF(IF(F61="",IF($D$34="",0,$D$34),F61)=0,0,SUMPRODUCT(((D13*1.02^(ROW(INDIRECT("1:10"))-1))-(IF(F62&lt;&gt;"",F62,IF($D$36&lt;&gt;"",$D$36,(F51*(1+IF(F52="",0,F52))^ROUNDDOWN((ROW(INDIRECT("1:10"))-1)/IF(F53="",5,F53),0))/IF(F61="",IF($D$34="",0,$D$34),F61))))&gt;0)*((D13*1.02^(ROW(INDIRECT("1:10"))-1))-(IF(F62&lt;&gt;"",F62,IF($D$36&lt;&gt;"",$D$36,(F51*(1+IF(F52="",0,F52))^ROUNDDOWN((ROW(INDIRECT("1:10"))-1)/IF(F53="",5,F53),0))/IF(F61="",IF($D$34="",0,$D$34),F61))))))*IF(F61="",IF($D$34="",0,$D$34),F61)))</f>
        <v/>
      </c>
      <c r="G68" s="63" t="str">
        <f aca="true">IF(OR(G51="",AND(G61="",$D$34=""),D13=""),"",IF(IF(G61="",IF($D$34="",0,$D$34),G61)=0,0,SUMPRODUCT(((D13*1.02^(ROW(INDIRECT("1:10"))-1))-(IF(G62&lt;&gt;"",G62,IF($D$36&lt;&gt;"",$D$36,(G51*(1+IF(G52="",0,G52))^ROUNDDOWN((ROW(INDIRECT("1:10"))-1)/IF(G53="",5,G53),0))/IF(G61="",IF($D$34="",0,$D$34),G61))))&gt;0)*((D13*1.02^(ROW(INDIRECT("1:10"))-1))-(IF(G62&lt;&gt;"",G62,IF($D$36&lt;&gt;"",$D$36,(G51*(1+IF(G52="",0,G52))^ROUNDDOWN((ROW(INDIRECT("1:10"))-1)/IF(G53="",5,G53),0))/IF(G61="",IF($D$34="",0,$D$34),G61))))))*IF(G61="",IF($D$34="",0,$D$34),G61)))</f>
        <v/>
      </c>
      <c r="H68" s="63" t="str">
        <f aca="true">IF(OR(H51="",AND(H61="",$D$34=""),D13=""),"",IF(IF(H61="",IF($D$34="",0,$D$34),H61)=0,0,SUMPRODUCT(((D13*1.02^(ROW(INDIRECT("1:10"))-1))-(IF(H62&lt;&gt;"",H62,IF($D$36&lt;&gt;"",$D$36,(H51*(1+IF(H52="",0,H52))^ROUNDDOWN((ROW(INDIRECT("1:10"))-1)/IF(H53="",5,H53),0))/IF(H61="",IF($D$34="",0,$D$34),H61))))&gt;0)*((D13*1.02^(ROW(INDIRECT("1:10"))-1))-(IF(H62&lt;&gt;"",H62,IF($D$36&lt;&gt;"",$D$36,(H51*(1+IF(H52="",0,H52))^ROUNDDOWN((ROW(INDIRECT("1:10"))-1)/IF(H53="",5,H53),0))/IF(H61="",IF($D$34="",0,$D$34),H61))))))*IF(H61="",IF($D$34="",0,$D$34),H61)))</f>
        <v/>
      </c>
    </row>
    <row r="69" customFormat="false" ht="15" hidden="false" customHeight="true" outlineLevel="0" collapsed="false">
      <c r="A69" s="22" t="s">
        <v>372</v>
      </c>
      <c r="B69" s="22"/>
      <c r="C69" s="22"/>
      <c r="D69" s="63" t="n">
        <f aca="false">IF(OR(D59="",D68=""),"",D59+D68)</f>
        <v>1616232.3</v>
      </c>
      <c r="E69" s="63" t="str">
        <f aca="false">IF(OR(E59="",E68=""),"",E59+E68)</f>
        <v/>
      </c>
      <c r="F69" s="63" t="str">
        <f aca="false">IF(OR(F59="",F68=""),"",F59+F68)</f>
        <v/>
      </c>
      <c r="G69" s="63" t="str">
        <f aca="false">IF(OR(G59="",G68=""),"",G59+G68)</f>
        <v/>
      </c>
      <c r="H69" s="63" t="str">
        <f aca="false">IF(OR(H59="",H68=""),"",H59+H68)</f>
        <v/>
      </c>
    </row>
    <row r="70" customFormat="false" ht="23.85" hidden="false" customHeight="true" outlineLevel="0" collapsed="false">
      <c r="A70" s="22" t="s">
        <v>373</v>
      </c>
      <c r="B70" s="22"/>
      <c r="C70" s="22"/>
      <c r="D70" s="65" t="n">
        <f aca="true">IF(D51="","",SUMPRODUCT(D51*(1+IF(D52="",0,D52))^ROUNDDOWN((ROW(INDIRECT("1:"&amp;IF(D54="",10,D54)))-1)/IF(D53="",5,D53),0))+IF(OR(D13="",IF(D61="",IF($D$34="",0,$D$34),D61)=0),0,SUMPRODUCT(((D13*1.02^(ROW(INDIRECT("1:"&amp;IF(D54="",10,D54)))-1))-(IF(D62&lt;&gt;"",D62,IF($D$36&lt;&gt;"",$D$36,(D51*(1+IF(D52="",0,D52))^ROUNDDOWN((ROW(INDIRECT("1:"&amp;IF(D54="",10,D54)))-1)/IF(D53="",5,D53),0))/IF(D61="",IF($D$34="",0,$D$34),D61))))&gt;0)*((D13*1.02^(ROW(INDIRECT("1:"&amp;IF(D54="",10,D54)))-1))-(IF(D62&lt;&gt;"",D62,IF($D$36&lt;&gt;"",$D$36,(D51*(1+IF(D52="",0,D52))^ROUNDDOWN((ROW(INDIRECT("1:"&amp;IF(D54="",10,D54)))-1)/IF(D53="",5,D53),0))/IF(D61="",IF($D$34="",0,$D$34),D61))))))*IF(D61="",IF($D$34="",0,$D$34),D61)))</f>
        <v>3297760.38492</v>
      </c>
      <c r="E70" s="65" t="str">
        <f aca="true">IF(E51="","",SUMPRODUCT(E51*(1+IF(E52="",0,E52))^ROUNDDOWN((ROW(INDIRECT("1:"&amp;IF(E54="",10,E54)))-1)/IF(E53="",5,E53),0))+IF(OR(D13="",IF(E61="",IF($D$34="",0,$D$34),E61)=0),0,SUMPRODUCT(((D13*1.02^(ROW(INDIRECT("1:"&amp;IF(E54="",10,E54)))-1))-(IF(E62&lt;&gt;"",E62,IF($D$36&lt;&gt;"",$D$36,(E51*(1+IF(E52="",0,E52))^ROUNDDOWN((ROW(INDIRECT("1:"&amp;IF(E54="",10,E54)))-1)/IF(E53="",5,E53),0))/IF(E61="",IF($D$34="",0,$D$34),E61))))&gt;0)*((D13*1.02^(ROW(INDIRECT("1:"&amp;IF(E54="",10,E54)))-1))-(IF(E62&lt;&gt;"",E62,IF($D$36&lt;&gt;"",$D$36,(E51*(1+IF(E52="",0,E52))^ROUNDDOWN((ROW(INDIRECT("1:"&amp;IF(E54="",10,E54)))-1)/IF(E53="",5,E53),0))/IF(E61="",IF($D$34="",0,$D$34),E61))))))*IF(E61="",IF($D$34="",0,$D$34),E61)))</f>
        <v/>
      </c>
      <c r="F70" s="65" t="str">
        <f aca="true">IF(F51="","",SUMPRODUCT(F51*(1+IF(F52="",0,F52))^ROUNDDOWN((ROW(INDIRECT("1:"&amp;IF(F54="",10,F54)))-1)/IF(F53="",5,F53),0))+IF(OR(D13="",IF(F61="",IF($D$34="",0,$D$34),F61)=0),0,SUMPRODUCT(((D13*1.02^(ROW(INDIRECT("1:"&amp;IF(F54="",10,F54)))-1))-(IF(F62&lt;&gt;"",F62,IF($D$36&lt;&gt;"",$D$36,(F51*(1+IF(F52="",0,F52))^ROUNDDOWN((ROW(INDIRECT("1:"&amp;IF(F54="",10,F54)))-1)/IF(F53="",5,F53),0))/IF(F61="",IF($D$34="",0,$D$34),F61))))&gt;0)*((D13*1.02^(ROW(INDIRECT("1:"&amp;IF(F54="",10,F54)))-1))-(IF(F62&lt;&gt;"",F62,IF($D$36&lt;&gt;"",$D$36,(F51*(1+IF(F52="",0,F52))^ROUNDDOWN((ROW(INDIRECT("1:"&amp;IF(F54="",10,F54)))-1)/IF(F53="",5,F53),0))/IF(F61="",IF($D$34="",0,$D$34),F61))))))*IF(F61="",IF($D$34="",0,$D$34),F61)))</f>
        <v/>
      </c>
      <c r="G70" s="65" t="str">
        <f aca="true">IF(G51="","",SUMPRODUCT(G51*(1+IF(G52="",0,G52))^ROUNDDOWN((ROW(INDIRECT("1:"&amp;IF(G54="",10,G54)))-1)/IF(G53="",5,G53),0))+IF(OR(D13="",IF(G61="",IF($D$34="",0,$D$34),G61)=0),0,SUMPRODUCT(((D13*1.02^(ROW(INDIRECT("1:"&amp;IF(G54="",10,G54)))-1))-(IF(G62&lt;&gt;"",G62,IF($D$36&lt;&gt;"",$D$36,(G51*(1+IF(G52="",0,G52))^ROUNDDOWN((ROW(INDIRECT("1:"&amp;IF(G54="",10,G54)))-1)/IF(G53="",5,G53),0))/IF(G61="",IF($D$34="",0,$D$34),G61))))&gt;0)*((D13*1.02^(ROW(INDIRECT("1:"&amp;IF(G54="",10,G54)))-1))-(IF(G62&lt;&gt;"",G62,IF($D$36&lt;&gt;"",$D$36,(G51*(1+IF(G52="",0,G52))^ROUNDDOWN((ROW(INDIRECT("1:"&amp;IF(G54="",10,G54)))-1)/IF(G53="",5,G53),0))/IF(G61="",IF($D$34="",0,$D$34),G61))))))*IF(G61="",IF($D$34="",0,$D$34),G61)))</f>
        <v/>
      </c>
      <c r="H70" s="65" t="str">
        <f aca="true">IF(H51="","",SUMPRODUCT(H51*(1+IF(H52="",0,H52))^ROUNDDOWN((ROW(INDIRECT("1:"&amp;IF(H54="",10,H54)))-1)/IF(H53="",5,H53),0))+IF(OR(D13="",IF(H61="",IF($D$34="",0,$D$34),H61)=0),0,SUMPRODUCT(((D13*1.02^(ROW(INDIRECT("1:"&amp;IF(H54="",10,H54)))-1))-(IF(H62&lt;&gt;"",H62,IF($D$36&lt;&gt;"",$D$36,(H51*(1+IF(H52="",0,H52))^ROUNDDOWN((ROW(INDIRECT("1:"&amp;IF(H54="",10,H54)))-1)/IF(H53="",5,H53),0))/IF(H61="",IF($D$34="",0,$D$34),H61))))&gt;0)*((D13*1.02^(ROW(INDIRECT("1:"&amp;IF(H54="",10,H54)))-1))-(IF(H62&lt;&gt;"",H62,IF($D$36&lt;&gt;"",$D$36,(H51*(1+IF(H52="",0,H52))^ROUNDDOWN((ROW(INDIRECT("1:"&amp;IF(H54="",10,H54)))-1)/IF(H53="",5,H53),0))/IF(H61="",IF($D$34="",0,$D$34),H61))))))*IF(H61="",IF($D$34="",0,$D$34),H61)))</f>
        <v/>
      </c>
    </row>
    <row r="71" customFormat="false" ht="15" hidden="false" customHeight="true" outlineLevel="0" collapsed="false">
      <c r="A71" s="22" t="s">
        <v>374</v>
      </c>
      <c r="B71" s="22"/>
      <c r="C71" s="22"/>
      <c r="D71" s="62" t="n">
        <f aca="false">IF(D51="","",IF(D52="",0,(1+D52)^(5/IF(D53="",5,D53))-1))</f>
        <v>0.02</v>
      </c>
      <c r="E71" s="62" t="str">
        <f aca="false">IF(E51="","",IF(E52="",0,(1+E52)^(5/IF(E53="",5,E53))-1))</f>
        <v/>
      </c>
      <c r="F71" s="62" t="str">
        <f aca="false">IF(F51="","",IF(F52="",0,(1+F52)^(5/IF(F53="",5,F53))-1))</f>
        <v/>
      </c>
      <c r="G71" s="62" t="str">
        <f aca="false">IF(G51="","",IF(G52="",0,(1+G52)^(5/IF(G53="",5,G53))-1))</f>
        <v/>
      </c>
      <c r="H71" s="62" t="str">
        <f aca="false">IF(H51="","",IF(H52="",0,(1+H52)^(5/IF(H53="",5,H53))-1))</f>
        <v/>
      </c>
    </row>
    <row r="72" customFormat="false" ht="43.25" hidden="false" customHeight="true" outlineLevel="0" collapsed="false">
      <c r="A72" s="22" t="s">
        <v>375</v>
      </c>
      <c r="B72" s="22"/>
      <c r="C72" s="22"/>
      <c r="D72" s="66" t="str">
        <f aca="false">IF(D71="","",IF(D71&lt;=0,"REDUCTION / FLAT — ladder steps 1-2 (best)",IF(D71&lt;=0.08,"OK — within 8%/5-yr in-house authority (ladder step 3)","ABOVE 8%/5-yr — CEO SIGN-OFF REQUIRED (Rob 8/5/26)")))</f>
        <v>OK — within 8%/5-yr in-house authority (ladder step 3)</v>
      </c>
      <c r="E72" s="66" t="str">
        <f aca="false">IF(E71="","",IF(E71&lt;=0,"REDUCTION / FLAT — ladder steps 1-2 (best)",IF(E71&lt;=0.08,"OK — within 8%/5-yr in-house authority (ladder step 3)","ABOVE 8%/5-yr — CEO SIGN-OFF REQUIRED (Rob 8/5/26)")))</f>
        <v/>
      </c>
      <c r="F72" s="66" t="str">
        <f aca="false">IF(F71="","",IF(F71&lt;=0,"REDUCTION / FLAT — ladder steps 1-2 (best)",IF(F71&lt;=0.08,"OK — within 8%/5-yr in-house authority (ladder step 3)","ABOVE 8%/5-yr — CEO SIGN-OFF REQUIRED (Rob 8/5/26)")))</f>
        <v/>
      </c>
      <c r="G72" s="66" t="str">
        <f aca="false">IF(G71="","",IF(G71&lt;=0,"REDUCTION / FLAT — ladder steps 1-2 (best)",IF(G71&lt;=0.08,"OK — within 8%/5-yr in-house authority (ladder step 3)","ABOVE 8%/5-yr — CEO SIGN-OFF REQUIRED (Rob 8/5/26)")))</f>
        <v/>
      </c>
      <c r="H72" s="66" t="str">
        <f aca="false">IF(H71="","",IF(H71&lt;=0,"REDUCTION / FLAT — ladder steps 1-2 (best)",IF(H71&lt;=0.08,"OK — within 8%/5-yr in-house authority (ladder step 3)","ABOVE 8%/5-yr — CEO SIGN-OFF REQUIRED (Rob 8/5/26)")))</f>
        <v/>
      </c>
    </row>
    <row r="73" customFormat="false" ht="23.85" hidden="false" customHeight="true" outlineLevel="0" collapsed="false">
      <c r="A73" s="22" t="s">
        <v>376</v>
      </c>
      <c r="B73" s="22"/>
      <c r="C73" s="22"/>
      <c r="D73" s="62" t="n">
        <f aca="false">IF(OR(D51="",D13=""),"",((D51*(1+IF(D52="",0,D52))^ROUNDDOWN(9/IF(D53="",5,D53),0))+IF(IF(D61="",IF($D$34="",0,$D$34),D61)=0,0,MAX(0,D13*1.02^9-IF(D62&lt;&gt;"",D62,IF($D$36&lt;&gt;"",$D$36,(D51*(1+IF(D52="",0,D52))^ROUNDDOWN(9/IF(D53="",5,D53),0))/IF(D61="",IF($D$34="",0,$D$34),D61))))*IF(D61="",IF($D$34="",0,$D$34),D61)))/(D13*1.02^9))</f>
        <v>0.0710208298037123</v>
      </c>
      <c r="E73" s="62" t="str">
        <f aca="false">IF(OR(E51="",D13=""),"",((E51*(1+IF(E52="",0,E52))^ROUNDDOWN(9/IF(E53="",5,E53),0))+IF(IF(E61="",IF($D$34="",0,$D$34),E61)=0,0,MAX(0,D13*1.02^9-IF(E62&lt;&gt;"",E62,IF($D$36&lt;&gt;"",$D$36,(E51*(1+IF(E52="",0,E52))^ROUNDDOWN(9/IF(E53="",5,E53),0))/IF(E61="",IF($D$34="",0,$D$34),E61))))*IF(E61="",IF($D$34="",0,$D$34),E61)))/(D13*1.02^9))</f>
        <v/>
      </c>
      <c r="F73" s="62" t="str">
        <f aca="false">IF(OR(F51="",D13=""),"",((F51*(1+IF(F52="",0,F52))^ROUNDDOWN(9/IF(F53="",5,F53),0))+IF(IF(F61="",IF($D$34="",0,$D$34),F61)=0,0,MAX(0,D13*1.02^9-IF(F62&lt;&gt;"",F62,IF($D$36&lt;&gt;"",$D$36,(F51*(1+IF(F52="",0,F52))^ROUNDDOWN(9/IF(F53="",5,F53),0))/IF(F61="",IF($D$34="",0,$D$34),F61))))*IF(F61="",IF($D$34="",0,$D$34),F61)))/(D13*1.02^9))</f>
        <v/>
      </c>
      <c r="G73" s="62" t="str">
        <f aca="false">IF(OR(G51="",D13=""),"",((G51*(1+IF(G52="",0,G52))^ROUNDDOWN(9/IF(G53="",5,G53),0))+IF(IF(G61="",IF($D$34="",0,$D$34),G61)=0,0,MAX(0,D13*1.02^9-IF(G62&lt;&gt;"",G62,IF($D$36&lt;&gt;"",$D$36,(G51*(1+IF(G52="",0,G52))^ROUNDDOWN(9/IF(G53="",5,G53),0))/IF(G61="",IF($D$34="",0,$D$34),G61))))*IF(G61="",IF($D$34="",0,$D$34),G61)))/(D13*1.02^9))</f>
        <v/>
      </c>
      <c r="H73" s="62" t="str">
        <f aca="false">IF(OR(H51="",D13=""),"",((H51*(1+IF(H52="",0,H52))^ROUNDDOWN(9/IF(H53="",5,H53),0))+IF(IF(H61="",IF($D$34="",0,$D$34),H61)=0,0,MAX(0,D13*1.02^9-IF(H62&lt;&gt;"",H62,IF($D$36&lt;&gt;"",$D$36,(H51*(1+IF(H52="",0,H52))^ROUNDDOWN(9/IF(H53="",5,H53),0))/IF(H61="",IF($D$34="",0,$D$34),H61))))*IF(H61="",IF($D$34="",0,$D$34),H61)))/(D13*1.02^9))</f>
        <v/>
      </c>
    </row>
    <row r="74" customFormat="false" ht="74.6" hidden="false" customHeight="true" outlineLevel="0" collapsed="false">
      <c r="A74" s="22" t="s">
        <v>377</v>
      </c>
      <c r="B74" s="22"/>
      <c r="C74" s="22"/>
      <c r="D74" s="66" t="str">
        <f aca="false">IF(OR(D73="",D66=""),"",IF(MAX(D66,D73)&gt;=0.08,"HARD STOP — occupancy at/above 8% of sales: STOP, CEO sign-off before responding",IF(MAX(D66,D73)&gt;0.07,"Above Kim 7% alert — approaching 8% hard stop","OK — under 7% alert")))</f>
        <v>HARD STOP — occupancy at/above 8% of sales: STOP, CEO sign-off before responding</v>
      </c>
      <c r="E74" s="66" t="str">
        <f aca="false">IF(OR(E73="",E66=""),"",IF(MAX(E66,E73)&gt;=0.08,"HARD STOP — occupancy at/above 8% of sales: STOP, CEO sign-off before responding",IF(MAX(E66,E73)&gt;0.07,"Above Kim 7% alert — approaching 8% hard stop","OK — under 7% alert")))</f>
        <v/>
      </c>
      <c r="F74" s="66" t="str">
        <f aca="false">IF(OR(F73="",F66=""),"",IF(MAX(F66,F73)&gt;=0.08,"HARD STOP — occupancy at/above 8% of sales: STOP, CEO sign-off before responding",IF(MAX(F66,F73)&gt;0.07,"Above Kim 7% alert — approaching 8% hard stop","OK — under 7% alert")))</f>
        <v/>
      </c>
      <c r="G74" s="66" t="str">
        <f aca="false">IF(OR(G73="",G66=""),"",IF(MAX(G66,G73)&gt;=0.08,"HARD STOP — occupancy at/above 8% of sales: STOP, CEO sign-off before responding",IF(MAX(G66,G73)&gt;0.07,"Above Kim 7% alert — approaching 8% hard stop","OK — under 7% alert")))</f>
        <v/>
      </c>
      <c r="H74" s="66" t="str">
        <f aca="false">IF(OR(H73="",H66=""),"",IF(MAX(H66,H73)&gt;=0.08,"HARD STOP — occupancy at/above 8% of sales: STOP, CEO sign-off before responding",IF(MAX(H66,H73)&gt;0.07,"Above Kim 7% alert — approaching 8% hard stop","OK — under 7% alert")))</f>
        <v/>
      </c>
    </row>
    <row r="76" customFormat="false" ht="22.35" hidden="false" customHeight="true" outlineLevel="0" collapsed="false">
      <c r="A76" s="68" t="s">
        <v>379</v>
      </c>
      <c r="B76" s="68"/>
      <c r="C76" s="68"/>
      <c r="D76" s="68"/>
      <c r="E76" s="68"/>
      <c r="F76" s="68"/>
      <c r="G76" s="68"/>
      <c r="H76" s="68"/>
      <c r="I76" s="68"/>
      <c r="J76" s="68"/>
    </row>
    <row r="78" customFormat="false" ht="15" hidden="false" customHeight="false" outlineLevel="0" collapsed="false">
      <c r="A78" s="69" t="s">
        <v>380</v>
      </c>
      <c r="B78" s="69"/>
      <c r="C78" s="69"/>
      <c r="D78" s="69"/>
      <c r="E78" s="69"/>
      <c r="F78" s="69"/>
      <c r="G78" s="69"/>
      <c r="H78" s="69"/>
      <c r="I78" s="69"/>
      <c r="J78" s="69"/>
    </row>
    <row r="81" customFormat="false" ht="15" hidden="false" customHeight="false" outlineLevel="0" collapsed="false">
      <c r="A81" s="25" t="s">
        <v>381</v>
      </c>
    </row>
    <row r="82" customFormat="false" ht="15" hidden="false" customHeight="false" outlineLevel="0" collapsed="false">
      <c r="A82" s="69" t="s">
        <v>382</v>
      </c>
      <c r="B82" s="69"/>
      <c r="C82" s="69"/>
      <c r="D82" s="69"/>
      <c r="E82" s="69"/>
      <c r="F82" s="69"/>
      <c r="G82" s="69"/>
      <c r="H82" s="69"/>
      <c r="I82" s="69"/>
      <c r="J82" s="69"/>
      <c r="K82" s="69"/>
      <c r="L82" s="69"/>
      <c r="M82" s="69"/>
      <c r="N82" s="69"/>
      <c r="O82" s="69"/>
      <c r="P82" s="69"/>
      <c r="Q82" s="69"/>
      <c r="R82" s="69"/>
      <c r="S82" s="69"/>
      <c r="T82" s="69"/>
    </row>
    <row r="83" customFormat="false" ht="15" hidden="false" customHeight="true" outlineLevel="0" collapsed="false">
      <c r="A83" s="70" t="s">
        <v>383</v>
      </c>
      <c r="B83" s="70" t="s">
        <v>384</v>
      </c>
      <c r="C83" s="71" t="s">
        <v>385</v>
      </c>
      <c r="D83" s="71"/>
      <c r="E83" s="71"/>
      <c r="F83" s="71" t="s">
        <v>386</v>
      </c>
      <c r="G83" s="71"/>
      <c r="H83" s="71"/>
      <c r="I83" s="71" t="s">
        <v>387</v>
      </c>
      <c r="J83" s="71"/>
      <c r="K83" s="71"/>
      <c r="L83" s="71" t="s">
        <v>388</v>
      </c>
      <c r="M83" s="71"/>
      <c r="N83" s="71"/>
      <c r="O83" s="71" t="s">
        <v>389</v>
      </c>
      <c r="P83" s="71"/>
      <c r="Q83" s="71"/>
      <c r="R83" s="72" t="s">
        <v>390</v>
      </c>
      <c r="S83" s="72"/>
      <c r="T83" s="72"/>
    </row>
    <row r="84" customFormat="false" ht="15" hidden="false" customHeight="false" outlineLevel="0" collapsed="false">
      <c r="A84" s="73"/>
      <c r="B84" s="73"/>
      <c r="C84" s="73" t="s">
        <v>391</v>
      </c>
      <c r="D84" s="73" t="s">
        <v>392</v>
      </c>
      <c r="E84" s="73" t="s">
        <v>393</v>
      </c>
      <c r="F84" s="73" t="s">
        <v>391</v>
      </c>
      <c r="G84" s="73" t="s">
        <v>392</v>
      </c>
      <c r="H84" s="73" t="s">
        <v>393</v>
      </c>
      <c r="I84" s="73" t="s">
        <v>391</v>
      </c>
      <c r="J84" s="73" t="s">
        <v>392</v>
      </c>
      <c r="K84" s="73" t="s">
        <v>393</v>
      </c>
      <c r="L84" s="73" t="s">
        <v>391</v>
      </c>
      <c r="M84" s="73" t="s">
        <v>392</v>
      </c>
      <c r="N84" s="73" t="s">
        <v>393</v>
      </c>
      <c r="O84" s="73" t="s">
        <v>391</v>
      </c>
      <c r="P84" s="73" t="s">
        <v>392</v>
      </c>
      <c r="Q84" s="73" t="s">
        <v>393</v>
      </c>
      <c r="R84" s="73" t="s">
        <v>391</v>
      </c>
      <c r="S84" s="73" t="s">
        <v>392</v>
      </c>
      <c r="T84" s="73" t="s">
        <v>393</v>
      </c>
    </row>
    <row r="85" customFormat="false" ht="15" hidden="false" customHeight="false" outlineLevel="0" collapsed="false">
      <c r="A85" s="74" t="n">
        <v>1</v>
      </c>
      <c r="B85" s="75" t="n">
        <v>1923071</v>
      </c>
      <c r="C85" s="76" t="n">
        <v>160023</v>
      </c>
      <c r="D85" s="76" t="n">
        <v>0</v>
      </c>
      <c r="E85" s="76" t="n">
        <v>160023</v>
      </c>
      <c r="F85" s="75" t="n">
        <f aca="false">IF(D51="","",IF(1&gt;IF(D54="",10,D54),"",D51*(1+IF(D52="",0,D52))^ROUNDDOWN((1-1)/IF(D53="",5,D53),0)))</f>
        <v>160023</v>
      </c>
      <c r="G85" s="75" t="n">
        <f aca="false">IF(F85="","",IF((IF(D61="",IF($D$34="",0,$D$34),D61))=0,0,MAX(0,1923070.88-(IF(D62&lt;&gt;"",D62,IF($D$36&lt;&gt;"",$D$36,IF((IF(D61="",IF($D$34="",0,$D$34),D61))=0,0,D51/(IF(D61="",IF($D$34="",0,$D$34),D61)))))))*(IF(D61="",IF($D$34="",0,$D$34),D61))))</f>
        <v>0</v>
      </c>
      <c r="H85" s="75" t="n">
        <f aca="false">IF(F85="","",F85+G85)</f>
        <v>160023</v>
      </c>
      <c r="I85" s="75" t="str">
        <f aca="false">IF(E51="","",IF(1&gt;IF(E54="",10,E54),"",E51*(1+IF(E52="",0,E52))^ROUNDDOWN((1-1)/IF(E53="",5,E53),0)))</f>
        <v/>
      </c>
      <c r="J85" s="75" t="str">
        <f aca="false">IF(I85="","",IF((IF(E61="",IF($D$34="",0,$D$34),E61))=0,0,MAX(0,1923070.88-(IF(E62&lt;&gt;"",E62,IF($D$36&lt;&gt;"",$D$36,IF((IF(E61="",IF($D$34="",0,$D$34),E61))=0,0,E51/(IF(E61="",IF($D$34="",0,$D$34),E61)))))))*(IF(E61="",IF($D$34="",0,$D$34),E61))))</f>
        <v/>
      </c>
      <c r="K85" s="75" t="str">
        <f aca="false">IF(I85="","",I85+J85)</f>
        <v/>
      </c>
      <c r="L85" s="75" t="str">
        <f aca="false">IF(F51="","",IF(1&gt;IF(F54="",10,F54),"",F51*(1+IF(F52="",0,F52))^ROUNDDOWN((1-1)/IF(F53="",5,F53),0)))</f>
        <v/>
      </c>
      <c r="M85" s="75" t="str">
        <f aca="false">IF(L85="","",IF((IF(F61="",IF($D$34="",0,$D$34),F61))=0,0,MAX(0,1923070.88-(IF(F62&lt;&gt;"",F62,IF($D$36&lt;&gt;"",$D$36,IF((IF(F61="",IF($D$34="",0,$D$34),F61))=0,0,F51/(IF(F61="",IF($D$34="",0,$D$34),F61)))))))*(IF(F61="",IF($D$34="",0,$D$34),F61))))</f>
        <v/>
      </c>
      <c r="N85" s="75" t="str">
        <f aca="false">IF(L85="","",L85+M85)</f>
        <v/>
      </c>
      <c r="O85" s="75" t="str">
        <f aca="false">IF(G51="","",IF(1&gt;IF(G54="",10,G54),"",G51*(1+IF(G52="",0,G52))^ROUNDDOWN((1-1)/IF(G53="",5,G53),0)))</f>
        <v/>
      </c>
      <c r="P85" s="75" t="str">
        <f aca="false">IF(O85="","",IF((IF(G61="",IF($D$34="",0,$D$34),G61))=0,0,MAX(0,1923070.88-(IF(G62&lt;&gt;"",G62,IF($D$36&lt;&gt;"",$D$36,IF((IF(G61="",IF($D$34="",0,$D$34),G61))=0,0,G51/(IF(G61="",IF($D$34="",0,$D$34),G61)))))))*(IF(G61="",IF($D$34="",0,$D$34),G61))))</f>
        <v/>
      </c>
      <c r="Q85" s="75" t="str">
        <f aca="false">IF(O85="","",O85+P85)</f>
        <v/>
      </c>
      <c r="R85" s="75" t="str">
        <f aca="false">IF(H51="","",IF(1&gt;IF(H54="",10,H54),"",H51*(1+IF(H52="",0,H52))^ROUNDDOWN((1-1)/IF(H53="",5,H53),0)))</f>
        <v/>
      </c>
      <c r="S85" s="75" t="str">
        <f aca="false">IF(R85="","",IF((IF(H61="",IF($D$34="",0,$D$34),H61))=0,0,MAX(0,1923070.88-(IF(H62&lt;&gt;"",H62,IF($D$36&lt;&gt;"",$D$36,IF((IF(H61="",IF($D$34="",0,$D$34),H61))=0,0,H51/(IF(H61="",IF($D$34="",0,$D$34),H61)))))))*(IF(H61="",IF($D$34="",0,$D$34),H61))))</f>
        <v/>
      </c>
      <c r="T85" s="75" t="str">
        <f aca="false">IF(R85="","",R85+S85)</f>
        <v/>
      </c>
    </row>
    <row r="86" customFormat="false" ht="15" hidden="false" customHeight="false" outlineLevel="0" collapsed="false">
      <c r="A86" s="74" t="n">
        <v>2</v>
      </c>
      <c r="B86" s="75" t="n">
        <v>1961532</v>
      </c>
      <c r="C86" s="76" t="n">
        <v>160023</v>
      </c>
      <c r="D86" s="76" t="n">
        <v>0</v>
      </c>
      <c r="E86" s="76" t="n">
        <v>160023</v>
      </c>
      <c r="F86" s="75" t="n">
        <f aca="false">IF(D51="","",IF(2&gt;IF(D54="",10,D54),"",D51*(1+IF(D52="",0,D52))^ROUNDDOWN((2-1)/IF(D53="",5,D53),0)))</f>
        <v>160023</v>
      </c>
      <c r="G86" s="75" t="n">
        <f aca="false">IF(F86="","",IF((IF(D61="",IF($D$34="",0,$D$34),D61))=0,0,MAX(0,1961532.3-(IF(D62&lt;&gt;"",D62,IF($D$36&lt;&gt;"",$D$36,IF((IF(D61="",IF($D$34="",0,$D$34),D61))=0,0,D51/(IF(D61="",IF($D$34="",0,$D$34),D61)))))))*(IF(D61="",IF($D$34="",0,$D$34),D61))))</f>
        <v>0</v>
      </c>
      <c r="H86" s="75" t="n">
        <f aca="false">IF(F86="","",F86+G86)</f>
        <v>160023</v>
      </c>
      <c r="I86" s="75" t="str">
        <f aca="false">IF(E51="","",IF(2&gt;IF(E54="",10,E54),"",E51*(1+IF(E52="",0,E52))^ROUNDDOWN((2-1)/IF(E53="",5,E53),0)))</f>
        <v/>
      </c>
      <c r="J86" s="75" t="str">
        <f aca="false">IF(I86="","",IF((IF(E61="",IF($D$34="",0,$D$34),E61))=0,0,MAX(0,1961532.3-(IF(E62&lt;&gt;"",E62,IF($D$36&lt;&gt;"",$D$36,IF((IF(E61="",IF($D$34="",0,$D$34),E61))=0,0,E51/(IF(E61="",IF($D$34="",0,$D$34),E61)))))))*(IF(E61="",IF($D$34="",0,$D$34),E61))))</f>
        <v/>
      </c>
      <c r="K86" s="75" t="str">
        <f aca="false">IF(I86="","",I86+J86)</f>
        <v/>
      </c>
      <c r="L86" s="75" t="str">
        <f aca="false">IF(F51="","",IF(2&gt;IF(F54="",10,F54),"",F51*(1+IF(F52="",0,F52))^ROUNDDOWN((2-1)/IF(F53="",5,F53),0)))</f>
        <v/>
      </c>
      <c r="M86" s="75" t="str">
        <f aca="false">IF(L86="","",IF((IF(F61="",IF($D$34="",0,$D$34),F61))=0,0,MAX(0,1961532.3-(IF(F62&lt;&gt;"",F62,IF($D$36&lt;&gt;"",$D$36,IF((IF(F61="",IF($D$34="",0,$D$34),F61))=0,0,F51/(IF(F61="",IF($D$34="",0,$D$34),F61)))))))*(IF(F61="",IF($D$34="",0,$D$34),F61))))</f>
        <v/>
      </c>
      <c r="N86" s="75" t="str">
        <f aca="false">IF(L86="","",L86+M86)</f>
        <v/>
      </c>
      <c r="O86" s="75" t="str">
        <f aca="false">IF(G51="","",IF(2&gt;IF(G54="",10,G54),"",G51*(1+IF(G52="",0,G52))^ROUNDDOWN((2-1)/IF(G53="",5,G53),0)))</f>
        <v/>
      </c>
      <c r="P86" s="75" t="str">
        <f aca="false">IF(O86="","",IF((IF(G61="",IF($D$34="",0,$D$34),G61))=0,0,MAX(0,1961532.3-(IF(G62&lt;&gt;"",G62,IF($D$36&lt;&gt;"",$D$36,IF((IF(G61="",IF($D$34="",0,$D$34),G61))=0,0,G51/(IF(G61="",IF($D$34="",0,$D$34),G61)))))))*(IF(G61="",IF($D$34="",0,$D$34),G61))))</f>
        <v/>
      </c>
      <c r="Q86" s="75" t="str">
        <f aca="false">IF(O86="","",O86+P86)</f>
        <v/>
      </c>
      <c r="R86" s="75" t="str">
        <f aca="false">IF(H51="","",IF(2&gt;IF(H54="",10,H54),"",H51*(1+IF(H52="",0,H52))^ROUNDDOWN((2-1)/IF(H53="",5,H53),0)))</f>
        <v/>
      </c>
      <c r="S86" s="75" t="str">
        <f aca="false">IF(R86="","",IF((IF(H61="",IF($D$34="",0,$D$34),H61))=0,0,MAX(0,1961532.3-(IF(H62&lt;&gt;"",H62,IF($D$36&lt;&gt;"",$D$36,IF((IF(H61="",IF($D$34="",0,$D$34),H61))=0,0,H51/(IF(H61="",IF($D$34="",0,$D$34),H61)))))))*(IF(H61="",IF($D$34="",0,$D$34),H61))))</f>
        <v/>
      </c>
      <c r="T86" s="75" t="str">
        <f aca="false">IF(R86="","",R86+S86)</f>
        <v/>
      </c>
    </row>
    <row r="87" customFormat="false" ht="15" hidden="false" customHeight="false" outlineLevel="0" collapsed="false">
      <c r="A87" s="74" t="n">
        <v>3</v>
      </c>
      <c r="B87" s="75" t="n">
        <v>2000763</v>
      </c>
      <c r="C87" s="76" t="n">
        <v>160023</v>
      </c>
      <c r="D87" s="76" t="n">
        <v>0</v>
      </c>
      <c r="E87" s="76" t="n">
        <v>160023</v>
      </c>
      <c r="F87" s="75" t="n">
        <f aca="false">IF(D51="","",IF(3&gt;IF(D54="",10,D54),"",D51*(1+IF(D52="",0,D52))^ROUNDDOWN((3-1)/IF(D53="",5,D53),0)))</f>
        <v>160023</v>
      </c>
      <c r="G87" s="75" t="n">
        <f aca="false">IF(F87="","",IF((IF(D61="",IF($D$34="",0,$D$34),D61))=0,0,MAX(0,2000762.94-(IF(D62&lt;&gt;"",D62,IF($D$36&lt;&gt;"",$D$36,IF((IF(D61="",IF($D$34="",0,$D$34),D61))=0,0,D51/(IF(D61="",IF($D$34="",0,$D$34),D61)))))))*(IF(D61="",IF($D$34="",0,$D$34),D61))))</f>
        <v>0</v>
      </c>
      <c r="H87" s="75" t="n">
        <f aca="false">IF(F87="","",F87+G87)</f>
        <v>160023</v>
      </c>
      <c r="I87" s="75" t="str">
        <f aca="false">IF(E51="","",IF(3&gt;IF(E54="",10,E54),"",E51*(1+IF(E52="",0,E52))^ROUNDDOWN((3-1)/IF(E53="",5,E53),0)))</f>
        <v/>
      </c>
      <c r="J87" s="75" t="str">
        <f aca="false">IF(I87="","",IF((IF(E61="",IF($D$34="",0,$D$34),E61))=0,0,MAX(0,2000762.94-(IF(E62&lt;&gt;"",E62,IF($D$36&lt;&gt;"",$D$36,IF((IF(E61="",IF($D$34="",0,$D$34),E61))=0,0,E51/(IF(E61="",IF($D$34="",0,$D$34),E61)))))))*(IF(E61="",IF($D$34="",0,$D$34),E61))))</f>
        <v/>
      </c>
      <c r="K87" s="75" t="str">
        <f aca="false">IF(I87="","",I87+J87)</f>
        <v/>
      </c>
      <c r="L87" s="75" t="str">
        <f aca="false">IF(F51="","",IF(3&gt;IF(F54="",10,F54),"",F51*(1+IF(F52="",0,F52))^ROUNDDOWN((3-1)/IF(F53="",5,F53),0)))</f>
        <v/>
      </c>
      <c r="M87" s="75" t="str">
        <f aca="false">IF(L87="","",IF((IF(F61="",IF($D$34="",0,$D$34),F61))=0,0,MAX(0,2000762.94-(IF(F62&lt;&gt;"",F62,IF($D$36&lt;&gt;"",$D$36,IF((IF(F61="",IF($D$34="",0,$D$34),F61))=0,0,F51/(IF(F61="",IF($D$34="",0,$D$34),F61)))))))*(IF(F61="",IF($D$34="",0,$D$34),F61))))</f>
        <v/>
      </c>
      <c r="N87" s="75" t="str">
        <f aca="false">IF(L87="","",L87+M87)</f>
        <v/>
      </c>
      <c r="O87" s="75" t="str">
        <f aca="false">IF(G51="","",IF(3&gt;IF(G54="",10,G54),"",G51*(1+IF(G52="",0,G52))^ROUNDDOWN((3-1)/IF(G53="",5,G53),0)))</f>
        <v/>
      </c>
      <c r="P87" s="75" t="str">
        <f aca="false">IF(O87="","",IF((IF(G61="",IF($D$34="",0,$D$34),G61))=0,0,MAX(0,2000762.94-(IF(G62&lt;&gt;"",G62,IF($D$36&lt;&gt;"",$D$36,IF((IF(G61="",IF($D$34="",0,$D$34),G61))=0,0,G51/(IF(G61="",IF($D$34="",0,$D$34),G61)))))))*(IF(G61="",IF($D$34="",0,$D$34),G61))))</f>
        <v/>
      </c>
      <c r="Q87" s="75" t="str">
        <f aca="false">IF(O87="","",O87+P87)</f>
        <v/>
      </c>
      <c r="R87" s="75" t="str">
        <f aca="false">IF(H51="","",IF(3&gt;IF(H54="",10,H54),"",H51*(1+IF(H52="",0,H52))^ROUNDDOWN((3-1)/IF(H53="",5,H53),0)))</f>
        <v/>
      </c>
      <c r="S87" s="75" t="str">
        <f aca="false">IF(R87="","",IF((IF(H61="",IF($D$34="",0,$D$34),H61))=0,0,MAX(0,2000762.94-(IF(H62&lt;&gt;"",H62,IF($D$36&lt;&gt;"",$D$36,IF((IF(H61="",IF($D$34="",0,$D$34),H61))=0,0,H51/(IF(H61="",IF($D$34="",0,$D$34),H61)))))))*(IF(H61="",IF($D$34="",0,$D$34),H61))))</f>
        <v/>
      </c>
      <c r="T87" s="75" t="str">
        <f aca="false">IF(R87="","",R87+S87)</f>
        <v/>
      </c>
    </row>
    <row r="88" customFormat="false" ht="15" hidden="false" customHeight="false" outlineLevel="0" collapsed="false">
      <c r="A88" s="74" t="n">
        <v>4</v>
      </c>
      <c r="B88" s="75" t="n">
        <v>2040778</v>
      </c>
      <c r="C88" s="76" t="n">
        <v>160023</v>
      </c>
      <c r="D88" s="76" t="n">
        <v>0</v>
      </c>
      <c r="E88" s="76" t="n">
        <v>160023</v>
      </c>
      <c r="F88" s="75" t="n">
        <f aca="false">IF(D51="","",IF(4&gt;IF(D54="",10,D54),"",D51*(1+IF(D52="",0,D52))^ROUNDDOWN((4-1)/IF(D53="",5,D53),0)))</f>
        <v>160023</v>
      </c>
      <c r="G88" s="75" t="n">
        <f aca="false">IF(F88="","",IF((IF(D61="",IF($D$34="",0,$D$34),D61))=0,0,MAX(0,2040778.2-(IF(D62&lt;&gt;"",D62,IF($D$36&lt;&gt;"",$D$36,IF((IF(D61="",IF($D$34="",0,$D$34),D61))=0,0,D51/(IF(D61="",IF($D$34="",0,$D$34),D61)))))))*(IF(D61="",IF($D$34="",0,$D$34),D61))))</f>
        <v>0</v>
      </c>
      <c r="H88" s="75" t="n">
        <f aca="false">IF(F88="","",F88+G88)</f>
        <v>160023</v>
      </c>
      <c r="I88" s="75" t="str">
        <f aca="false">IF(E51="","",IF(4&gt;IF(E54="",10,E54),"",E51*(1+IF(E52="",0,E52))^ROUNDDOWN((4-1)/IF(E53="",5,E53),0)))</f>
        <v/>
      </c>
      <c r="J88" s="75" t="str">
        <f aca="false">IF(I88="","",IF((IF(E61="",IF($D$34="",0,$D$34),E61))=0,0,MAX(0,2040778.2-(IF(E62&lt;&gt;"",E62,IF($D$36&lt;&gt;"",$D$36,IF((IF(E61="",IF($D$34="",0,$D$34),E61))=0,0,E51/(IF(E61="",IF($D$34="",0,$D$34),E61)))))))*(IF(E61="",IF($D$34="",0,$D$34),E61))))</f>
        <v/>
      </c>
      <c r="K88" s="75" t="str">
        <f aca="false">IF(I88="","",I88+J88)</f>
        <v/>
      </c>
      <c r="L88" s="75" t="str">
        <f aca="false">IF(F51="","",IF(4&gt;IF(F54="",10,F54),"",F51*(1+IF(F52="",0,F52))^ROUNDDOWN((4-1)/IF(F53="",5,F53),0)))</f>
        <v/>
      </c>
      <c r="M88" s="75" t="str">
        <f aca="false">IF(L88="","",IF((IF(F61="",IF($D$34="",0,$D$34),F61))=0,0,MAX(0,2040778.2-(IF(F62&lt;&gt;"",F62,IF($D$36&lt;&gt;"",$D$36,IF((IF(F61="",IF($D$34="",0,$D$34),F61))=0,0,F51/(IF(F61="",IF($D$34="",0,$D$34),F61)))))))*(IF(F61="",IF($D$34="",0,$D$34),F61))))</f>
        <v/>
      </c>
      <c r="N88" s="75" t="str">
        <f aca="false">IF(L88="","",L88+M88)</f>
        <v/>
      </c>
      <c r="O88" s="75" t="str">
        <f aca="false">IF(G51="","",IF(4&gt;IF(G54="",10,G54),"",G51*(1+IF(G52="",0,G52))^ROUNDDOWN((4-1)/IF(G53="",5,G53),0)))</f>
        <v/>
      </c>
      <c r="P88" s="75" t="str">
        <f aca="false">IF(O88="","",IF((IF(G61="",IF($D$34="",0,$D$34),G61))=0,0,MAX(0,2040778.2-(IF(G62&lt;&gt;"",G62,IF($D$36&lt;&gt;"",$D$36,IF((IF(G61="",IF($D$34="",0,$D$34),G61))=0,0,G51/(IF(G61="",IF($D$34="",0,$D$34),G61)))))))*(IF(G61="",IF($D$34="",0,$D$34),G61))))</f>
        <v/>
      </c>
      <c r="Q88" s="75" t="str">
        <f aca="false">IF(O88="","",O88+P88)</f>
        <v/>
      </c>
      <c r="R88" s="75" t="str">
        <f aca="false">IF(H51="","",IF(4&gt;IF(H54="",10,H54),"",H51*(1+IF(H52="",0,H52))^ROUNDDOWN((4-1)/IF(H53="",5,H53),0)))</f>
        <v/>
      </c>
      <c r="S88" s="75" t="str">
        <f aca="false">IF(R88="","",IF((IF(H61="",IF($D$34="",0,$D$34),H61))=0,0,MAX(0,2040778.2-(IF(H62&lt;&gt;"",H62,IF($D$36&lt;&gt;"",$D$36,IF((IF(H61="",IF($D$34="",0,$D$34),H61))=0,0,H51/(IF(H61="",IF($D$34="",0,$D$34),H61)))))))*(IF(H61="",IF($D$34="",0,$D$34),H61))))</f>
        <v/>
      </c>
      <c r="T88" s="75" t="str">
        <f aca="false">IF(R88="","",R88+S88)</f>
        <v/>
      </c>
    </row>
    <row r="89" customFormat="false" ht="15" hidden="false" customHeight="false" outlineLevel="0" collapsed="false">
      <c r="A89" s="74" t="n">
        <v>5</v>
      </c>
      <c r="B89" s="75" t="n">
        <v>2081594</v>
      </c>
      <c r="C89" s="76" t="n">
        <v>160023</v>
      </c>
      <c r="D89" s="76" t="n">
        <v>0</v>
      </c>
      <c r="E89" s="76" t="n">
        <v>160023</v>
      </c>
      <c r="F89" s="75" t="n">
        <f aca="false">IF(D51="","",IF(5&gt;IF(D54="",10,D54),"",D51*(1+IF(D52="",0,D52))^ROUNDDOWN((5-1)/IF(D53="",5,D53),0)))</f>
        <v>160023</v>
      </c>
      <c r="G89" s="75" t="n">
        <f aca="false">IF(F89="","",IF((IF(D61="",IF($D$34="",0,$D$34),D61))=0,0,MAX(0,2081593.77-(IF(D62&lt;&gt;"",D62,IF($D$36&lt;&gt;"",$D$36,IF((IF(D61="",IF($D$34="",0,$D$34),D61))=0,0,D51/(IF(D61="",IF($D$34="",0,$D$34),D61)))))))*(IF(D61="",IF($D$34="",0,$D$34),D61))))</f>
        <v>0</v>
      </c>
      <c r="H89" s="75" t="n">
        <f aca="false">IF(F89="","",F89+G89)</f>
        <v>160023</v>
      </c>
      <c r="I89" s="75" t="str">
        <f aca="false">IF(E51="","",IF(5&gt;IF(E54="",10,E54),"",E51*(1+IF(E52="",0,E52))^ROUNDDOWN((5-1)/IF(E53="",5,E53),0)))</f>
        <v/>
      </c>
      <c r="J89" s="75" t="str">
        <f aca="false">IF(I89="","",IF((IF(E61="",IF($D$34="",0,$D$34),E61))=0,0,MAX(0,2081593.77-(IF(E62&lt;&gt;"",E62,IF($D$36&lt;&gt;"",$D$36,IF((IF(E61="",IF($D$34="",0,$D$34),E61))=0,0,E51/(IF(E61="",IF($D$34="",0,$D$34),E61)))))))*(IF(E61="",IF($D$34="",0,$D$34),E61))))</f>
        <v/>
      </c>
      <c r="K89" s="75" t="str">
        <f aca="false">IF(I89="","",I89+J89)</f>
        <v/>
      </c>
      <c r="L89" s="75" t="str">
        <f aca="false">IF(F51="","",IF(5&gt;IF(F54="",10,F54),"",F51*(1+IF(F52="",0,F52))^ROUNDDOWN((5-1)/IF(F53="",5,F53),0)))</f>
        <v/>
      </c>
      <c r="M89" s="75" t="str">
        <f aca="false">IF(L89="","",IF((IF(F61="",IF($D$34="",0,$D$34),F61))=0,0,MAX(0,2081593.77-(IF(F62&lt;&gt;"",F62,IF($D$36&lt;&gt;"",$D$36,IF((IF(F61="",IF($D$34="",0,$D$34),F61))=0,0,F51/(IF(F61="",IF($D$34="",0,$D$34),F61)))))))*(IF(F61="",IF($D$34="",0,$D$34),F61))))</f>
        <v/>
      </c>
      <c r="N89" s="75" t="str">
        <f aca="false">IF(L89="","",L89+M89)</f>
        <v/>
      </c>
      <c r="O89" s="75" t="str">
        <f aca="false">IF(G51="","",IF(5&gt;IF(G54="",10,G54),"",G51*(1+IF(G52="",0,G52))^ROUNDDOWN((5-1)/IF(G53="",5,G53),0)))</f>
        <v/>
      </c>
      <c r="P89" s="75" t="str">
        <f aca="false">IF(O89="","",IF((IF(G61="",IF($D$34="",0,$D$34),G61))=0,0,MAX(0,2081593.77-(IF(G62&lt;&gt;"",G62,IF($D$36&lt;&gt;"",$D$36,IF((IF(G61="",IF($D$34="",0,$D$34),G61))=0,0,G51/(IF(G61="",IF($D$34="",0,$D$34),G61)))))))*(IF(G61="",IF($D$34="",0,$D$34),G61))))</f>
        <v/>
      </c>
      <c r="Q89" s="75" t="str">
        <f aca="false">IF(O89="","",O89+P89)</f>
        <v/>
      </c>
      <c r="R89" s="75" t="str">
        <f aca="false">IF(H51="","",IF(5&gt;IF(H54="",10,H54),"",H51*(1+IF(H52="",0,H52))^ROUNDDOWN((5-1)/IF(H53="",5,H53),0)))</f>
        <v/>
      </c>
      <c r="S89" s="75" t="str">
        <f aca="false">IF(R89="","",IF((IF(H61="",IF($D$34="",0,$D$34),H61))=0,0,MAX(0,2081593.77-(IF(H62&lt;&gt;"",H62,IF($D$36&lt;&gt;"",$D$36,IF((IF(H61="",IF($D$34="",0,$D$34),H61))=0,0,H51/(IF(H61="",IF($D$34="",0,$D$34),H61)))))))*(IF(H61="",IF($D$34="",0,$D$34),H61))))</f>
        <v/>
      </c>
      <c r="T89" s="75" t="str">
        <f aca="false">IF(R89="","",R89+S89)</f>
        <v/>
      </c>
    </row>
    <row r="90" customFormat="false" ht="15" hidden="false" customHeight="false" outlineLevel="0" collapsed="false">
      <c r="A90" s="74" t="n">
        <v>6</v>
      </c>
      <c r="B90" s="75" t="n">
        <v>2123226</v>
      </c>
      <c r="C90" s="76" t="n">
        <v>160023</v>
      </c>
      <c r="D90" s="76" t="n">
        <v>0</v>
      </c>
      <c r="E90" s="76" t="n">
        <v>160023</v>
      </c>
      <c r="F90" s="75" t="n">
        <f aca="false">IF(D51="","",IF(6&gt;IF(D54="",10,D54),"",D51*(1+IF(D52="",0,D52))^ROUNDDOWN((6-1)/IF(D53="",5,D53),0)))</f>
        <v>163223.46</v>
      </c>
      <c r="G90" s="75" t="n">
        <f aca="false">IF(F90="","",IF((IF(D61="",IF($D$34="",0,$D$34),D61))=0,0,MAX(0,2123225.64-(IF(D62&lt;&gt;"",D62,IF($D$36&lt;&gt;"",$D$36,IF((IF(D61="",IF($D$34="",0,$D$34),D61))=0,0,D51/(IF(D61="",IF($D$34="",0,$D$34),D61)))))))*(IF(D61="",IF($D$34="",0,$D$34),D61))))</f>
        <v>0</v>
      </c>
      <c r="H90" s="75" t="n">
        <f aca="false">IF(F90="","",F90+G90)</f>
        <v>163223.46</v>
      </c>
      <c r="I90" s="75" t="str">
        <f aca="false">IF(E51="","",IF(6&gt;IF(E54="",10,E54),"",E51*(1+IF(E52="",0,E52))^ROUNDDOWN((6-1)/IF(E53="",5,E53),0)))</f>
        <v/>
      </c>
      <c r="J90" s="75" t="str">
        <f aca="false">IF(I90="","",IF((IF(E61="",IF($D$34="",0,$D$34),E61))=0,0,MAX(0,2123225.64-(IF(E62&lt;&gt;"",E62,IF($D$36&lt;&gt;"",$D$36,IF((IF(E61="",IF($D$34="",0,$D$34),E61))=0,0,E51/(IF(E61="",IF($D$34="",0,$D$34),E61)))))))*(IF(E61="",IF($D$34="",0,$D$34),E61))))</f>
        <v/>
      </c>
      <c r="K90" s="75" t="str">
        <f aca="false">IF(I90="","",I90+J90)</f>
        <v/>
      </c>
      <c r="L90" s="75" t="str">
        <f aca="false">IF(F51="","",IF(6&gt;IF(F54="",10,F54),"",F51*(1+IF(F52="",0,F52))^ROUNDDOWN((6-1)/IF(F53="",5,F53),0)))</f>
        <v/>
      </c>
      <c r="M90" s="75" t="str">
        <f aca="false">IF(L90="","",IF((IF(F61="",IF($D$34="",0,$D$34),F61))=0,0,MAX(0,2123225.64-(IF(F62&lt;&gt;"",F62,IF($D$36&lt;&gt;"",$D$36,IF((IF(F61="",IF($D$34="",0,$D$34),F61))=0,0,F51/(IF(F61="",IF($D$34="",0,$D$34),F61)))))))*(IF(F61="",IF($D$34="",0,$D$34),F61))))</f>
        <v/>
      </c>
      <c r="N90" s="75" t="str">
        <f aca="false">IF(L90="","",L90+M90)</f>
        <v/>
      </c>
      <c r="O90" s="75" t="str">
        <f aca="false">IF(G51="","",IF(6&gt;IF(G54="",10,G54),"",G51*(1+IF(G52="",0,G52))^ROUNDDOWN((6-1)/IF(G53="",5,G53),0)))</f>
        <v/>
      </c>
      <c r="P90" s="75" t="str">
        <f aca="false">IF(O90="","",IF((IF(G61="",IF($D$34="",0,$D$34),G61))=0,0,MAX(0,2123225.64-(IF(G62&lt;&gt;"",G62,IF($D$36&lt;&gt;"",$D$36,IF((IF(G61="",IF($D$34="",0,$D$34),G61))=0,0,G51/(IF(G61="",IF($D$34="",0,$D$34),G61)))))))*(IF(G61="",IF($D$34="",0,$D$34),G61))))</f>
        <v/>
      </c>
      <c r="Q90" s="75" t="str">
        <f aca="false">IF(O90="","",O90+P90)</f>
        <v/>
      </c>
      <c r="R90" s="75" t="str">
        <f aca="false">IF(H51="","",IF(6&gt;IF(H54="",10,H54),"",H51*(1+IF(H52="",0,H52))^ROUNDDOWN((6-1)/IF(H53="",5,H53),0)))</f>
        <v/>
      </c>
      <c r="S90" s="75" t="str">
        <f aca="false">IF(R90="","",IF((IF(H61="",IF($D$34="",0,$D$34),H61))=0,0,MAX(0,2123225.64-(IF(H62&lt;&gt;"",H62,IF($D$36&lt;&gt;"",$D$36,IF((IF(H61="",IF($D$34="",0,$D$34),H61))=0,0,H51/(IF(H61="",IF($D$34="",0,$D$34),H61)))))))*(IF(H61="",IF($D$34="",0,$D$34),H61))))</f>
        <v/>
      </c>
      <c r="T90" s="75" t="str">
        <f aca="false">IF(R90="","",R90+S90)</f>
        <v/>
      </c>
    </row>
    <row r="91" customFormat="false" ht="15" hidden="false" customHeight="false" outlineLevel="0" collapsed="false">
      <c r="A91" s="74" t="n">
        <v>7</v>
      </c>
      <c r="B91" s="75" t="n">
        <v>2165690</v>
      </c>
      <c r="C91" s="76" t="n">
        <v>160023</v>
      </c>
      <c r="D91" s="76" t="n">
        <v>0</v>
      </c>
      <c r="E91" s="76" t="n">
        <v>160023</v>
      </c>
      <c r="F91" s="75" t="n">
        <f aca="false">IF(D51="","",IF(7&gt;IF(D54="",10,D54),"",D51*(1+IF(D52="",0,D52))^ROUNDDOWN((7-1)/IF(D53="",5,D53),0)))</f>
        <v>163223.46</v>
      </c>
      <c r="G91" s="75" t="n">
        <f aca="false">IF(F91="","",IF((IF(D61="",IF($D$34="",0,$D$34),D61))=0,0,MAX(0,2165690.15-(IF(D62&lt;&gt;"",D62,IF($D$36&lt;&gt;"",$D$36,IF((IF(D61="",IF($D$34="",0,$D$34),D61))=0,0,D51/(IF(D61="",IF($D$34="",0,$D$34),D61)))))))*(IF(D61="",IF($D$34="",0,$D$34),D61))))</f>
        <v>0</v>
      </c>
      <c r="H91" s="75" t="n">
        <f aca="false">IF(F91="","",F91+G91)</f>
        <v>163223.46</v>
      </c>
      <c r="I91" s="75" t="str">
        <f aca="false">IF(E51="","",IF(7&gt;IF(E54="",10,E54),"",E51*(1+IF(E52="",0,E52))^ROUNDDOWN((7-1)/IF(E53="",5,E53),0)))</f>
        <v/>
      </c>
      <c r="J91" s="75" t="str">
        <f aca="false">IF(I91="","",IF((IF(E61="",IF($D$34="",0,$D$34),E61))=0,0,MAX(0,2165690.15-(IF(E62&lt;&gt;"",E62,IF($D$36&lt;&gt;"",$D$36,IF((IF(E61="",IF($D$34="",0,$D$34),E61))=0,0,E51/(IF(E61="",IF($D$34="",0,$D$34),E61)))))))*(IF(E61="",IF($D$34="",0,$D$34),E61))))</f>
        <v/>
      </c>
      <c r="K91" s="75" t="str">
        <f aca="false">IF(I91="","",I91+J91)</f>
        <v/>
      </c>
      <c r="L91" s="75" t="str">
        <f aca="false">IF(F51="","",IF(7&gt;IF(F54="",10,F54),"",F51*(1+IF(F52="",0,F52))^ROUNDDOWN((7-1)/IF(F53="",5,F53),0)))</f>
        <v/>
      </c>
      <c r="M91" s="75" t="str">
        <f aca="false">IF(L91="","",IF((IF(F61="",IF($D$34="",0,$D$34),F61))=0,0,MAX(0,2165690.15-(IF(F62&lt;&gt;"",F62,IF($D$36&lt;&gt;"",$D$36,IF((IF(F61="",IF($D$34="",0,$D$34),F61))=0,0,F51/(IF(F61="",IF($D$34="",0,$D$34),F61)))))))*(IF(F61="",IF($D$34="",0,$D$34),F61))))</f>
        <v/>
      </c>
      <c r="N91" s="75" t="str">
        <f aca="false">IF(L91="","",L91+M91)</f>
        <v/>
      </c>
      <c r="O91" s="75" t="str">
        <f aca="false">IF(G51="","",IF(7&gt;IF(G54="",10,G54),"",G51*(1+IF(G52="",0,G52))^ROUNDDOWN((7-1)/IF(G53="",5,G53),0)))</f>
        <v/>
      </c>
      <c r="P91" s="75" t="str">
        <f aca="false">IF(O91="","",IF((IF(G61="",IF($D$34="",0,$D$34),G61))=0,0,MAX(0,2165690.15-(IF(G62&lt;&gt;"",G62,IF($D$36&lt;&gt;"",$D$36,IF((IF(G61="",IF($D$34="",0,$D$34),G61))=0,0,G51/(IF(G61="",IF($D$34="",0,$D$34),G61)))))))*(IF(G61="",IF($D$34="",0,$D$34),G61))))</f>
        <v/>
      </c>
      <c r="Q91" s="75" t="str">
        <f aca="false">IF(O91="","",O91+P91)</f>
        <v/>
      </c>
      <c r="R91" s="75" t="str">
        <f aca="false">IF(H51="","",IF(7&gt;IF(H54="",10,H54),"",H51*(1+IF(H52="",0,H52))^ROUNDDOWN((7-1)/IF(H53="",5,H53),0)))</f>
        <v/>
      </c>
      <c r="S91" s="75" t="str">
        <f aca="false">IF(R91="","",IF((IF(H61="",IF($D$34="",0,$D$34),H61))=0,0,MAX(0,2165690.15-(IF(H62&lt;&gt;"",H62,IF($D$36&lt;&gt;"",$D$36,IF((IF(H61="",IF($D$34="",0,$D$34),H61))=0,0,H51/(IF(H61="",IF($D$34="",0,$D$34),H61)))))))*(IF(H61="",IF($D$34="",0,$D$34),H61))))</f>
        <v/>
      </c>
      <c r="T91" s="75" t="str">
        <f aca="false">IF(R91="","",R91+S91)</f>
        <v/>
      </c>
    </row>
    <row r="92" customFormat="false" ht="15" hidden="false" customHeight="false" outlineLevel="0" collapsed="false">
      <c r="A92" s="74" t="n">
        <v>8</v>
      </c>
      <c r="B92" s="75" t="n">
        <v>2209004</v>
      </c>
      <c r="C92" s="76" t="n">
        <v>160023</v>
      </c>
      <c r="D92" s="76" t="n">
        <v>0</v>
      </c>
      <c r="E92" s="76" t="n">
        <v>160023</v>
      </c>
      <c r="F92" s="75" t="n">
        <f aca="false">IF(D51="","",IF(8&gt;IF(D54="",10,D54),"",D51*(1+IF(D52="",0,D52))^ROUNDDOWN((8-1)/IF(D53="",5,D53),0)))</f>
        <v>163223.46</v>
      </c>
      <c r="G92" s="75" t="n">
        <f aca="false">IF(F92="","",IF((IF(D61="",IF($D$34="",0,$D$34),D61))=0,0,MAX(0,2209003.96-(IF(D62&lt;&gt;"",D62,IF($D$36&lt;&gt;"",$D$36,IF((IF(D61="",IF($D$34="",0,$D$34),D61))=0,0,D51/(IF(D61="",IF($D$34="",0,$D$34),D61)))))))*(IF(D61="",IF($D$34="",0,$D$34),D61))))</f>
        <v>0</v>
      </c>
      <c r="H92" s="75" t="n">
        <f aca="false">IF(F92="","",F92+G92)</f>
        <v>163223.46</v>
      </c>
      <c r="I92" s="75" t="str">
        <f aca="false">IF(E51="","",IF(8&gt;IF(E54="",10,E54),"",E51*(1+IF(E52="",0,E52))^ROUNDDOWN((8-1)/IF(E53="",5,E53),0)))</f>
        <v/>
      </c>
      <c r="J92" s="75" t="str">
        <f aca="false">IF(I92="","",IF((IF(E61="",IF($D$34="",0,$D$34),E61))=0,0,MAX(0,2209003.96-(IF(E62&lt;&gt;"",E62,IF($D$36&lt;&gt;"",$D$36,IF((IF(E61="",IF($D$34="",0,$D$34),E61))=0,0,E51/(IF(E61="",IF($D$34="",0,$D$34),E61)))))))*(IF(E61="",IF($D$34="",0,$D$34),E61))))</f>
        <v/>
      </c>
      <c r="K92" s="75" t="str">
        <f aca="false">IF(I92="","",I92+J92)</f>
        <v/>
      </c>
      <c r="L92" s="75" t="str">
        <f aca="false">IF(F51="","",IF(8&gt;IF(F54="",10,F54),"",F51*(1+IF(F52="",0,F52))^ROUNDDOWN((8-1)/IF(F53="",5,F53),0)))</f>
        <v/>
      </c>
      <c r="M92" s="75" t="str">
        <f aca="false">IF(L92="","",IF((IF(F61="",IF($D$34="",0,$D$34),F61))=0,0,MAX(0,2209003.96-(IF(F62&lt;&gt;"",F62,IF($D$36&lt;&gt;"",$D$36,IF((IF(F61="",IF($D$34="",0,$D$34),F61))=0,0,F51/(IF(F61="",IF($D$34="",0,$D$34),F61)))))))*(IF(F61="",IF($D$34="",0,$D$34),F61))))</f>
        <v/>
      </c>
      <c r="N92" s="75" t="str">
        <f aca="false">IF(L92="","",L92+M92)</f>
        <v/>
      </c>
      <c r="O92" s="75" t="str">
        <f aca="false">IF(G51="","",IF(8&gt;IF(G54="",10,G54),"",G51*(1+IF(G52="",0,G52))^ROUNDDOWN((8-1)/IF(G53="",5,G53),0)))</f>
        <v/>
      </c>
      <c r="P92" s="75" t="str">
        <f aca="false">IF(O92="","",IF((IF(G61="",IF($D$34="",0,$D$34),G61))=0,0,MAX(0,2209003.96-(IF(G62&lt;&gt;"",G62,IF($D$36&lt;&gt;"",$D$36,IF((IF(G61="",IF($D$34="",0,$D$34),G61))=0,0,G51/(IF(G61="",IF($D$34="",0,$D$34),G61)))))))*(IF(G61="",IF($D$34="",0,$D$34),G61))))</f>
        <v/>
      </c>
      <c r="Q92" s="75" t="str">
        <f aca="false">IF(O92="","",O92+P92)</f>
        <v/>
      </c>
      <c r="R92" s="75" t="str">
        <f aca="false">IF(H51="","",IF(8&gt;IF(H54="",10,H54),"",H51*(1+IF(H52="",0,H52))^ROUNDDOWN((8-1)/IF(H53="",5,H53),0)))</f>
        <v/>
      </c>
      <c r="S92" s="75" t="str">
        <f aca="false">IF(R92="","",IF((IF(H61="",IF($D$34="",0,$D$34),H61))=0,0,MAX(0,2209003.96-(IF(H62&lt;&gt;"",H62,IF($D$36&lt;&gt;"",$D$36,IF((IF(H61="",IF($D$34="",0,$D$34),H61))=0,0,H51/(IF(H61="",IF($D$34="",0,$D$34),H61)))))))*(IF(H61="",IF($D$34="",0,$D$34),H61))))</f>
        <v/>
      </c>
      <c r="T92" s="75" t="str">
        <f aca="false">IF(R92="","",R92+S92)</f>
        <v/>
      </c>
    </row>
    <row r="93" customFormat="false" ht="15" hidden="false" customHeight="false" outlineLevel="0" collapsed="false">
      <c r="A93" s="74" t="n">
        <v>9</v>
      </c>
      <c r="B93" s="75" t="n">
        <v>2253184</v>
      </c>
      <c r="C93" s="76" t="n">
        <v>160023</v>
      </c>
      <c r="D93" s="76" t="n">
        <v>0</v>
      </c>
      <c r="E93" s="76" t="n">
        <v>160023</v>
      </c>
      <c r="F93" s="75" t="n">
        <f aca="false">IF(D51="","",IF(9&gt;IF(D54="",10,D54),"",D51*(1+IF(D52="",0,D52))^ROUNDDOWN((9-1)/IF(D53="",5,D53),0)))</f>
        <v>163223.46</v>
      </c>
      <c r="G93" s="75" t="n">
        <f aca="false">IF(F93="","",IF((IF(D61="",IF($D$34="",0,$D$34),D61))=0,0,MAX(0,2253184.04-(IF(D62&lt;&gt;"",D62,IF($D$36&lt;&gt;"",$D$36,IF((IF(D61="",IF($D$34="",0,$D$34),D61))=0,0,D51/(IF(D61="",IF($D$34="",0,$D$34),D61)))))))*(IF(D61="",IF($D$34="",0,$D$34),D61))))</f>
        <v>0</v>
      </c>
      <c r="H93" s="75" t="n">
        <f aca="false">IF(F93="","",F93+G93)</f>
        <v>163223.46</v>
      </c>
      <c r="I93" s="75" t="str">
        <f aca="false">IF(E51="","",IF(9&gt;IF(E54="",10,E54),"",E51*(1+IF(E52="",0,E52))^ROUNDDOWN((9-1)/IF(E53="",5,E53),0)))</f>
        <v/>
      </c>
      <c r="J93" s="75" t="str">
        <f aca="false">IF(I93="","",IF((IF(E61="",IF($D$34="",0,$D$34),E61))=0,0,MAX(0,2253184.04-(IF(E62&lt;&gt;"",E62,IF($D$36&lt;&gt;"",$D$36,IF((IF(E61="",IF($D$34="",0,$D$34),E61))=0,0,E51/(IF(E61="",IF($D$34="",0,$D$34),E61)))))))*(IF(E61="",IF($D$34="",0,$D$34),E61))))</f>
        <v/>
      </c>
      <c r="K93" s="75" t="str">
        <f aca="false">IF(I93="","",I93+J93)</f>
        <v/>
      </c>
      <c r="L93" s="75" t="str">
        <f aca="false">IF(F51="","",IF(9&gt;IF(F54="",10,F54),"",F51*(1+IF(F52="",0,F52))^ROUNDDOWN((9-1)/IF(F53="",5,F53),0)))</f>
        <v/>
      </c>
      <c r="M93" s="75" t="str">
        <f aca="false">IF(L93="","",IF((IF(F61="",IF($D$34="",0,$D$34),F61))=0,0,MAX(0,2253184.04-(IF(F62&lt;&gt;"",F62,IF($D$36&lt;&gt;"",$D$36,IF((IF(F61="",IF($D$34="",0,$D$34),F61))=0,0,F51/(IF(F61="",IF($D$34="",0,$D$34),F61)))))))*(IF(F61="",IF($D$34="",0,$D$34),F61))))</f>
        <v/>
      </c>
      <c r="N93" s="75" t="str">
        <f aca="false">IF(L93="","",L93+M93)</f>
        <v/>
      </c>
      <c r="O93" s="75" t="str">
        <f aca="false">IF(G51="","",IF(9&gt;IF(G54="",10,G54),"",G51*(1+IF(G52="",0,G52))^ROUNDDOWN((9-1)/IF(G53="",5,G53),0)))</f>
        <v/>
      </c>
      <c r="P93" s="75" t="str">
        <f aca="false">IF(O93="","",IF((IF(G61="",IF($D$34="",0,$D$34),G61))=0,0,MAX(0,2253184.04-(IF(G62&lt;&gt;"",G62,IF($D$36&lt;&gt;"",$D$36,IF((IF(G61="",IF($D$34="",0,$D$34),G61))=0,0,G51/(IF(G61="",IF($D$34="",0,$D$34),G61)))))))*(IF(G61="",IF($D$34="",0,$D$34),G61))))</f>
        <v/>
      </c>
      <c r="Q93" s="75" t="str">
        <f aca="false">IF(O93="","",O93+P93)</f>
        <v/>
      </c>
      <c r="R93" s="75" t="str">
        <f aca="false">IF(H51="","",IF(9&gt;IF(H54="",10,H54),"",H51*(1+IF(H52="",0,H52))^ROUNDDOWN((9-1)/IF(H53="",5,H53),0)))</f>
        <v/>
      </c>
      <c r="S93" s="75" t="str">
        <f aca="false">IF(R93="","",IF((IF(H61="",IF($D$34="",0,$D$34),H61))=0,0,MAX(0,2253184.04-(IF(H62&lt;&gt;"",H62,IF($D$36&lt;&gt;"",$D$36,IF((IF(H61="",IF($D$34="",0,$D$34),H61))=0,0,H51/(IF(H61="",IF($D$34="",0,$D$34),H61)))))))*(IF(H61="",IF($D$34="",0,$D$34),H61))))</f>
        <v/>
      </c>
      <c r="T93" s="75" t="str">
        <f aca="false">IF(R93="","",R93+S93)</f>
        <v/>
      </c>
    </row>
    <row r="94" customFormat="false" ht="15" hidden="false" customHeight="false" outlineLevel="0" collapsed="false">
      <c r="A94" s="74" t="n">
        <v>10</v>
      </c>
      <c r="B94" s="75" t="n">
        <v>2298248</v>
      </c>
      <c r="C94" s="76" t="n">
        <v>160023</v>
      </c>
      <c r="D94" s="76" t="n">
        <v>0</v>
      </c>
      <c r="E94" s="76" t="n">
        <v>160023</v>
      </c>
      <c r="F94" s="75" t="n">
        <f aca="false">IF(D51="","",IF(10&gt;IF(D54="",10,D54),"",D51*(1+IF(D52="",0,D52))^ROUNDDOWN((10-1)/IF(D53="",5,D53),0)))</f>
        <v>163223.46</v>
      </c>
      <c r="G94" s="75" t="n">
        <f aca="false">IF(F94="","",IF((IF(D61="",IF($D$34="",0,$D$34),D61))=0,0,MAX(0,2298247.72-(IF(D62&lt;&gt;"",D62,IF($D$36&lt;&gt;"",$D$36,IF((IF(D61="",IF($D$34="",0,$D$34),D61))=0,0,D51/(IF(D61="",IF($D$34="",0,$D$34),D61)))))))*(IF(D61="",IF($D$34="",0,$D$34),D61))))</f>
        <v>0</v>
      </c>
      <c r="H94" s="75" t="n">
        <f aca="false">IF(F94="","",F94+G94)</f>
        <v>163223.46</v>
      </c>
      <c r="I94" s="75" t="str">
        <f aca="false">IF(E51="","",IF(10&gt;IF(E54="",10,E54),"",E51*(1+IF(E52="",0,E52))^ROUNDDOWN((10-1)/IF(E53="",5,E53),0)))</f>
        <v/>
      </c>
      <c r="J94" s="75" t="str">
        <f aca="false">IF(I94="","",IF((IF(E61="",IF($D$34="",0,$D$34),E61))=0,0,MAX(0,2298247.72-(IF(E62&lt;&gt;"",E62,IF($D$36&lt;&gt;"",$D$36,IF((IF(E61="",IF($D$34="",0,$D$34),E61))=0,0,E51/(IF(E61="",IF($D$34="",0,$D$34),E61)))))))*(IF(E61="",IF($D$34="",0,$D$34),E61))))</f>
        <v/>
      </c>
      <c r="K94" s="75" t="str">
        <f aca="false">IF(I94="","",I94+J94)</f>
        <v/>
      </c>
      <c r="L94" s="75" t="str">
        <f aca="false">IF(F51="","",IF(10&gt;IF(F54="",10,F54),"",F51*(1+IF(F52="",0,F52))^ROUNDDOWN((10-1)/IF(F53="",5,F53),0)))</f>
        <v/>
      </c>
      <c r="M94" s="75" t="str">
        <f aca="false">IF(L94="","",IF((IF(F61="",IF($D$34="",0,$D$34),F61))=0,0,MAX(0,2298247.72-(IF(F62&lt;&gt;"",F62,IF($D$36&lt;&gt;"",$D$36,IF((IF(F61="",IF($D$34="",0,$D$34),F61))=0,0,F51/(IF(F61="",IF($D$34="",0,$D$34),F61)))))))*(IF(F61="",IF($D$34="",0,$D$34),F61))))</f>
        <v/>
      </c>
      <c r="N94" s="75" t="str">
        <f aca="false">IF(L94="","",L94+M94)</f>
        <v/>
      </c>
      <c r="O94" s="75" t="str">
        <f aca="false">IF(G51="","",IF(10&gt;IF(G54="",10,G54),"",G51*(1+IF(G52="",0,G52))^ROUNDDOWN((10-1)/IF(G53="",5,G53),0)))</f>
        <v/>
      </c>
      <c r="P94" s="75" t="str">
        <f aca="false">IF(O94="","",IF((IF(G61="",IF($D$34="",0,$D$34),G61))=0,0,MAX(0,2298247.72-(IF(G62&lt;&gt;"",G62,IF($D$36&lt;&gt;"",$D$36,IF((IF(G61="",IF($D$34="",0,$D$34),G61))=0,0,G51/(IF(G61="",IF($D$34="",0,$D$34),G61)))))))*(IF(G61="",IF($D$34="",0,$D$34),G61))))</f>
        <v/>
      </c>
      <c r="Q94" s="75" t="str">
        <f aca="false">IF(O94="","",O94+P94)</f>
        <v/>
      </c>
      <c r="R94" s="75" t="str">
        <f aca="false">IF(H51="","",IF(10&gt;IF(H54="",10,H54),"",H51*(1+IF(H52="",0,H52))^ROUNDDOWN((10-1)/IF(H53="",5,H53),0)))</f>
        <v/>
      </c>
      <c r="S94" s="75" t="str">
        <f aca="false">IF(R94="","",IF((IF(H61="",IF($D$34="",0,$D$34),H61))=0,0,MAX(0,2298247.72-(IF(H62&lt;&gt;"",H62,IF($D$36&lt;&gt;"",$D$36,IF((IF(H61="",IF($D$34="",0,$D$34),H61))=0,0,H51/(IF(H61="",IF($D$34="",0,$D$34),H61)))))))*(IF(H61="",IF($D$34="",0,$D$34),H61))))</f>
        <v/>
      </c>
      <c r="T94" s="75" t="str">
        <f aca="false">IF(R94="","",R94+S94)</f>
        <v/>
      </c>
    </row>
    <row r="95" customFormat="false" ht="15" hidden="false" customHeight="false" outlineLevel="0" collapsed="false">
      <c r="A95" s="74" t="n">
        <v>11</v>
      </c>
      <c r="B95" s="75" t="n">
        <v>2344213</v>
      </c>
      <c r="C95" s="76" t="n">
        <v>160023</v>
      </c>
      <c r="D95" s="76" t="n">
        <v>0</v>
      </c>
      <c r="E95" s="76" t="n">
        <v>160023</v>
      </c>
      <c r="F95" s="75" t="n">
        <f aca="false">IF(D51="","",IF(11&gt;IF(D54="",10,D54),"",D51*(1+IF(D52="",0,D52))^ROUNDDOWN((11-1)/IF(D53="",5,D53),0)))</f>
        <v>166487.9292</v>
      </c>
      <c r="G95" s="75" t="n">
        <f aca="false">IF(F95="","",IF((IF(D61="",IF($D$34="",0,$D$34),D61))=0,0,MAX(0,2344212.67-(IF(D62&lt;&gt;"",D62,IF($D$36&lt;&gt;"",$D$36,IF((IF(D61="",IF($D$34="",0,$D$34),D61))=0,0,D51/(IF(D61="",IF($D$34="",0,$D$34),D61)))))))*(IF(D61="",IF($D$34="",0,$D$34),D61))))</f>
        <v>0</v>
      </c>
      <c r="H95" s="75" t="n">
        <f aca="false">IF(F95="","",F95+G95)</f>
        <v>166487.9292</v>
      </c>
      <c r="I95" s="75" t="str">
        <f aca="false">IF(E51="","",IF(11&gt;IF(E54="",10,E54),"",E51*(1+IF(E52="",0,E52))^ROUNDDOWN((11-1)/IF(E53="",5,E53),0)))</f>
        <v/>
      </c>
      <c r="J95" s="75" t="str">
        <f aca="false">IF(I95="","",IF((IF(E61="",IF($D$34="",0,$D$34),E61))=0,0,MAX(0,2344212.67-(IF(E62&lt;&gt;"",E62,IF($D$36&lt;&gt;"",$D$36,IF((IF(E61="",IF($D$34="",0,$D$34),E61))=0,0,E51/(IF(E61="",IF($D$34="",0,$D$34),E61)))))))*(IF(E61="",IF($D$34="",0,$D$34),E61))))</f>
        <v/>
      </c>
      <c r="K95" s="75" t="str">
        <f aca="false">IF(I95="","",I95+J95)</f>
        <v/>
      </c>
      <c r="L95" s="75" t="str">
        <f aca="false">IF(F51="","",IF(11&gt;IF(F54="",10,F54),"",F51*(1+IF(F52="",0,F52))^ROUNDDOWN((11-1)/IF(F53="",5,F53),0)))</f>
        <v/>
      </c>
      <c r="M95" s="75" t="str">
        <f aca="false">IF(L95="","",IF((IF(F61="",IF($D$34="",0,$D$34),F61))=0,0,MAX(0,2344212.67-(IF(F62&lt;&gt;"",F62,IF($D$36&lt;&gt;"",$D$36,IF((IF(F61="",IF($D$34="",0,$D$34),F61))=0,0,F51/(IF(F61="",IF($D$34="",0,$D$34),F61)))))))*(IF(F61="",IF($D$34="",0,$D$34),F61))))</f>
        <v/>
      </c>
      <c r="N95" s="75" t="str">
        <f aca="false">IF(L95="","",L95+M95)</f>
        <v/>
      </c>
      <c r="O95" s="75" t="str">
        <f aca="false">IF(G51="","",IF(11&gt;IF(G54="",10,G54),"",G51*(1+IF(G52="",0,G52))^ROUNDDOWN((11-1)/IF(G53="",5,G53),0)))</f>
        <v/>
      </c>
      <c r="P95" s="75" t="str">
        <f aca="false">IF(O95="","",IF((IF(G61="",IF($D$34="",0,$D$34),G61))=0,0,MAX(0,2344212.67-(IF(G62&lt;&gt;"",G62,IF($D$36&lt;&gt;"",$D$36,IF((IF(G61="",IF($D$34="",0,$D$34),G61))=0,0,G51/(IF(G61="",IF($D$34="",0,$D$34),G61)))))))*(IF(G61="",IF($D$34="",0,$D$34),G61))))</f>
        <v/>
      </c>
      <c r="Q95" s="75" t="str">
        <f aca="false">IF(O95="","",O95+P95)</f>
        <v/>
      </c>
      <c r="R95" s="75" t="str">
        <f aca="false">IF(H51="","",IF(11&gt;IF(H54="",10,H54),"",H51*(1+IF(H52="",0,H52))^ROUNDDOWN((11-1)/IF(H53="",5,H53),0)))</f>
        <v/>
      </c>
      <c r="S95" s="75" t="str">
        <f aca="false">IF(R95="","",IF((IF(H61="",IF($D$34="",0,$D$34),H61))=0,0,MAX(0,2344212.67-(IF(H62&lt;&gt;"",H62,IF($D$36&lt;&gt;"",$D$36,IF((IF(H61="",IF($D$34="",0,$D$34),H61))=0,0,H51/(IF(H61="",IF($D$34="",0,$D$34),H61)))))))*(IF(H61="",IF($D$34="",0,$D$34),H61))))</f>
        <v/>
      </c>
      <c r="T95" s="75" t="str">
        <f aca="false">IF(R95="","",R95+S95)</f>
        <v/>
      </c>
    </row>
    <row r="96" customFormat="false" ht="15" hidden="false" customHeight="false" outlineLevel="0" collapsed="false">
      <c r="A96" s="74" t="n">
        <v>12</v>
      </c>
      <c r="B96" s="75" t="n">
        <v>2391097</v>
      </c>
      <c r="C96" s="76" t="n">
        <v>160023</v>
      </c>
      <c r="D96" s="76" t="n">
        <v>0</v>
      </c>
      <c r="E96" s="76" t="n">
        <v>160023</v>
      </c>
      <c r="F96" s="75" t="n">
        <f aca="false">IF(D51="","",IF(12&gt;IF(D54="",10,D54),"",D51*(1+IF(D52="",0,D52))^ROUNDDOWN((12-1)/IF(D53="",5,D53),0)))</f>
        <v>166487.9292</v>
      </c>
      <c r="G96" s="75" t="n">
        <f aca="false">IF(F96="","",IF((IF(D61="",IF($D$34="",0,$D$34),D61))=0,0,MAX(0,2391096.93-(IF(D62&lt;&gt;"",D62,IF($D$36&lt;&gt;"",$D$36,IF((IF(D61="",IF($D$34="",0,$D$34),D61))=0,0,D51/(IF(D61="",IF($D$34="",0,$D$34),D61)))))))*(IF(D61="",IF($D$34="",0,$D$34),D61))))</f>
        <v>0</v>
      </c>
      <c r="H96" s="75" t="n">
        <f aca="false">IF(F96="","",F96+G96)</f>
        <v>166487.9292</v>
      </c>
      <c r="I96" s="75" t="str">
        <f aca="false">IF(E51="","",IF(12&gt;IF(E54="",10,E54),"",E51*(1+IF(E52="",0,E52))^ROUNDDOWN((12-1)/IF(E53="",5,E53),0)))</f>
        <v/>
      </c>
      <c r="J96" s="75" t="str">
        <f aca="false">IF(I96="","",IF((IF(E61="",IF($D$34="",0,$D$34),E61))=0,0,MAX(0,2391096.93-(IF(E62&lt;&gt;"",E62,IF($D$36&lt;&gt;"",$D$36,IF((IF(E61="",IF($D$34="",0,$D$34),E61))=0,0,E51/(IF(E61="",IF($D$34="",0,$D$34),E61)))))))*(IF(E61="",IF($D$34="",0,$D$34),E61))))</f>
        <v/>
      </c>
      <c r="K96" s="75" t="str">
        <f aca="false">IF(I96="","",I96+J96)</f>
        <v/>
      </c>
      <c r="L96" s="75" t="str">
        <f aca="false">IF(F51="","",IF(12&gt;IF(F54="",10,F54),"",F51*(1+IF(F52="",0,F52))^ROUNDDOWN((12-1)/IF(F53="",5,F53),0)))</f>
        <v/>
      </c>
      <c r="M96" s="75" t="str">
        <f aca="false">IF(L96="","",IF((IF(F61="",IF($D$34="",0,$D$34),F61))=0,0,MAX(0,2391096.93-(IF(F62&lt;&gt;"",F62,IF($D$36&lt;&gt;"",$D$36,IF((IF(F61="",IF($D$34="",0,$D$34),F61))=0,0,F51/(IF(F61="",IF($D$34="",0,$D$34),F61)))))))*(IF(F61="",IF($D$34="",0,$D$34),F61))))</f>
        <v/>
      </c>
      <c r="N96" s="75" t="str">
        <f aca="false">IF(L96="","",L96+M96)</f>
        <v/>
      </c>
      <c r="O96" s="75" t="str">
        <f aca="false">IF(G51="","",IF(12&gt;IF(G54="",10,G54),"",G51*(1+IF(G52="",0,G52))^ROUNDDOWN((12-1)/IF(G53="",5,G53),0)))</f>
        <v/>
      </c>
      <c r="P96" s="75" t="str">
        <f aca="false">IF(O96="","",IF((IF(G61="",IF($D$34="",0,$D$34),G61))=0,0,MAX(0,2391096.93-(IF(G62&lt;&gt;"",G62,IF($D$36&lt;&gt;"",$D$36,IF((IF(G61="",IF($D$34="",0,$D$34),G61))=0,0,G51/(IF(G61="",IF($D$34="",0,$D$34),G61)))))))*(IF(G61="",IF($D$34="",0,$D$34),G61))))</f>
        <v/>
      </c>
      <c r="Q96" s="75" t="str">
        <f aca="false">IF(O96="","",O96+P96)</f>
        <v/>
      </c>
      <c r="R96" s="75" t="str">
        <f aca="false">IF(H51="","",IF(12&gt;IF(H54="",10,H54),"",H51*(1+IF(H52="",0,H52))^ROUNDDOWN((12-1)/IF(H53="",5,H53),0)))</f>
        <v/>
      </c>
      <c r="S96" s="75" t="str">
        <f aca="false">IF(R96="","",IF((IF(H61="",IF($D$34="",0,$D$34),H61))=0,0,MAX(0,2391096.93-(IF(H62&lt;&gt;"",H62,IF($D$36&lt;&gt;"",$D$36,IF((IF(H61="",IF($D$34="",0,$D$34),H61))=0,0,H51/(IF(H61="",IF($D$34="",0,$D$34),H61)))))))*(IF(H61="",IF($D$34="",0,$D$34),H61))))</f>
        <v/>
      </c>
      <c r="T96" s="75" t="str">
        <f aca="false">IF(R96="","",R96+S96)</f>
        <v/>
      </c>
    </row>
    <row r="97" customFormat="false" ht="15" hidden="false" customHeight="false" outlineLevel="0" collapsed="false">
      <c r="A97" s="74" t="n">
        <v>13</v>
      </c>
      <c r="B97" s="75" t="n">
        <v>2438919</v>
      </c>
      <c r="C97" s="76" t="n">
        <v>160023</v>
      </c>
      <c r="D97" s="76" t="n">
        <v>0</v>
      </c>
      <c r="E97" s="76" t="n">
        <v>160023</v>
      </c>
      <c r="F97" s="75" t="n">
        <f aca="false">IF(D51="","",IF(13&gt;IF(D54="",10,D54),"",D51*(1+IF(D52="",0,D52))^ROUNDDOWN((13-1)/IF(D53="",5,D53),0)))</f>
        <v>166487.9292</v>
      </c>
      <c r="G97" s="75" t="n">
        <f aca="false">IF(F97="","",IF((IF(D61="",IF($D$34="",0,$D$34),D61))=0,0,MAX(0,2438918.86-(IF(D62&lt;&gt;"",D62,IF($D$36&lt;&gt;"",$D$36,IF((IF(D61="",IF($D$34="",0,$D$34),D61))=0,0,D51/(IF(D61="",IF($D$34="",0,$D$34),D61)))))))*(IF(D61="",IF($D$34="",0,$D$34),D61))))</f>
        <v>0</v>
      </c>
      <c r="H97" s="75" t="n">
        <f aca="false">IF(F97="","",F97+G97)</f>
        <v>166487.9292</v>
      </c>
      <c r="I97" s="75" t="str">
        <f aca="false">IF(E51="","",IF(13&gt;IF(E54="",10,E54),"",E51*(1+IF(E52="",0,E52))^ROUNDDOWN((13-1)/IF(E53="",5,E53),0)))</f>
        <v/>
      </c>
      <c r="J97" s="75" t="str">
        <f aca="false">IF(I97="","",IF((IF(E61="",IF($D$34="",0,$D$34),E61))=0,0,MAX(0,2438918.86-(IF(E62&lt;&gt;"",E62,IF($D$36&lt;&gt;"",$D$36,IF((IF(E61="",IF($D$34="",0,$D$34),E61))=0,0,E51/(IF(E61="",IF($D$34="",0,$D$34),E61)))))))*(IF(E61="",IF($D$34="",0,$D$34),E61))))</f>
        <v/>
      </c>
      <c r="K97" s="75" t="str">
        <f aca="false">IF(I97="","",I97+J97)</f>
        <v/>
      </c>
      <c r="L97" s="75" t="str">
        <f aca="false">IF(F51="","",IF(13&gt;IF(F54="",10,F54),"",F51*(1+IF(F52="",0,F52))^ROUNDDOWN((13-1)/IF(F53="",5,F53),0)))</f>
        <v/>
      </c>
      <c r="M97" s="75" t="str">
        <f aca="false">IF(L97="","",IF((IF(F61="",IF($D$34="",0,$D$34),F61))=0,0,MAX(0,2438918.86-(IF(F62&lt;&gt;"",F62,IF($D$36&lt;&gt;"",$D$36,IF((IF(F61="",IF($D$34="",0,$D$34),F61))=0,0,F51/(IF(F61="",IF($D$34="",0,$D$34),F61)))))))*(IF(F61="",IF($D$34="",0,$D$34),F61))))</f>
        <v/>
      </c>
      <c r="N97" s="75" t="str">
        <f aca="false">IF(L97="","",L97+M97)</f>
        <v/>
      </c>
      <c r="O97" s="75" t="str">
        <f aca="false">IF(G51="","",IF(13&gt;IF(G54="",10,G54),"",G51*(1+IF(G52="",0,G52))^ROUNDDOWN((13-1)/IF(G53="",5,G53),0)))</f>
        <v/>
      </c>
      <c r="P97" s="75" t="str">
        <f aca="false">IF(O97="","",IF((IF(G61="",IF($D$34="",0,$D$34),G61))=0,0,MAX(0,2438918.86-(IF(G62&lt;&gt;"",G62,IF($D$36&lt;&gt;"",$D$36,IF((IF(G61="",IF($D$34="",0,$D$34),G61))=0,0,G51/(IF(G61="",IF($D$34="",0,$D$34),G61)))))))*(IF(G61="",IF($D$34="",0,$D$34),G61))))</f>
        <v/>
      </c>
      <c r="Q97" s="75" t="str">
        <f aca="false">IF(O97="","",O97+P97)</f>
        <v/>
      </c>
      <c r="R97" s="75" t="str">
        <f aca="false">IF(H51="","",IF(13&gt;IF(H54="",10,H54),"",H51*(1+IF(H52="",0,H52))^ROUNDDOWN((13-1)/IF(H53="",5,H53),0)))</f>
        <v/>
      </c>
      <c r="S97" s="75" t="str">
        <f aca="false">IF(R97="","",IF((IF(H61="",IF($D$34="",0,$D$34),H61))=0,0,MAX(0,2438918.86-(IF(H62&lt;&gt;"",H62,IF($D$36&lt;&gt;"",$D$36,IF((IF(H61="",IF($D$34="",0,$D$34),H61))=0,0,H51/(IF(H61="",IF($D$34="",0,$D$34),H61)))))))*(IF(H61="",IF($D$34="",0,$D$34),H61))))</f>
        <v/>
      </c>
      <c r="T97" s="75" t="str">
        <f aca="false">IF(R97="","",R97+S97)</f>
        <v/>
      </c>
    </row>
    <row r="98" customFormat="false" ht="15" hidden="false" customHeight="false" outlineLevel="0" collapsed="false">
      <c r="A98" s="74" t="n">
        <v>14</v>
      </c>
      <c r="B98" s="75" t="n">
        <v>2487697</v>
      </c>
      <c r="C98" s="76" t="n">
        <v>160023</v>
      </c>
      <c r="D98" s="76" t="n">
        <v>0</v>
      </c>
      <c r="E98" s="76" t="n">
        <v>160023</v>
      </c>
      <c r="F98" s="75" t="n">
        <f aca="false">IF(D51="","",IF(14&gt;IF(D54="",10,D54),"",D51*(1+IF(D52="",0,D52))^ROUNDDOWN((14-1)/IF(D53="",5,D53),0)))</f>
        <v>166487.9292</v>
      </c>
      <c r="G98" s="75" t="n">
        <f aca="false">IF(F98="","",IF((IF(D61="",IF($D$34="",0,$D$34),D61))=0,0,MAX(0,2487697.24-(IF(D62&lt;&gt;"",D62,IF($D$36&lt;&gt;"",$D$36,IF((IF(D61="",IF($D$34="",0,$D$34),D61))=0,0,D51/(IF(D61="",IF($D$34="",0,$D$34),D61)))))))*(IF(D61="",IF($D$34="",0,$D$34),D61))))</f>
        <v>0</v>
      </c>
      <c r="H98" s="75" t="n">
        <f aca="false">IF(F98="","",F98+G98)</f>
        <v>166487.9292</v>
      </c>
      <c r="I98" s="75" t="str">
        <f aca="false">IF(E51="","",IF(14&gt;IF(E54="",10,E54),"",E51*(1+IF(E52="",0,E52))^ROUNDDOWN((14-1)/IF(E53="",5,E53),0)))</f>
        <v/>
      </c>
      <c r="J98" s="75" t="str">
        <f aca="false">IF(I98="","",IF((IF(E61="",IF($D$34="",0,$D$34),E61))=0,0,MAX(0,2487697.24-(IF(E62&lt;&gt;"",E62,IF($D$36&lt;&gt;"",$D$36,IF((IF(E61="",IF($D$34="",0,$D$34),E61))=0,0,E51/(IF(E61="",IF($D$34="",0,$D$34),E61)))))))*(IF(E61="",IF($D$34="",0,$D$34),E61))))</f>
        <v/>
      </c>
      <c r="K98" s="75" t="str">
        <f aca="false">IF(I98="","",I98+J98)</f>
        <v/>
      </c>
      <c r="L98" s="75" t="str">
        <f aca="false">IF(F51="","",IF(14&gt;IF(F54="",10,F54),"",F51*(1+IF(F52="",0,F52))^ROUNDDOWN((14-1)/IF(F53="",5,F53),0)))</f>
        <v/>
      </c>
      <c r="M98" s="75" t="str">
        <f aca="false">IF(L98="","",IF((IF(F61="",IF($D$34="",0,$D$34),F61))=0,0,MAX(0,2487697.24-(IF(F62&lt;&gt;"",F62,IF($D$36&lt;&gt;"",$D$36,IF((IF(F61="",IF($D$34="",0,$D$34),F61))=0,0,F51/(IF(F61="",IF($D$34="",0,$D$34),F61)))))))*(IF(F61="",IF($D$34="",0,$D$34),F61))))</f>
        <v/>
      </c>
      <c r="N98" s="75" t="str">
        <f aca="false">IF(L98="","",L98+M98)</f>
        <v/>
      </c>
      <c r="O98" s="75" t="str">
        <f aca="false">IF(G51="","",IF(14&gt;IF(G54="",10,G54),"",G51*(1+IF(G52="",0,G52))^ROUNDDOWN((14-1)/IF(G53="",5,G53),0)))</f>
        <v/>
      </c>
      <c r="P98" s="75" t="str">
        <f aca="false">IF(O98="","",IF((IF(G61="",IF($D$34="",0,$D$34),G61))=0,0,MAX(0,2487697.24-(IF(G62&lt;&gt;"",G62,IF($D$36&lt;&gt;"",$D$36,IF((IF(G61="",IF($D$34="",0,$D$34),G61))=0,0,G51/(IF(G61="",IF($D$34="",0,$D$34),G61)))))))*(IF(G61="",IF($D$34="",0,$D$34),G61))))</f>
        <v/>
      </c>
      <c r="Q98" s="75" t="str">
        <f aca="false">IF(O98="","",O98+P98)</f>
        <v/>
      </c>
      <c r="R98" s="75" t="str">
        <f aca="false">IF(H51="","",IF(14&gt;IF(H54="",10,H54),"",H51*(1+IF(H52="",0,H52))^ROUNDDOWN((14-1)/IF(H53="",5,H53),0)))</f>
        <v/>
      </c>
      <c r="S98" s="75" t="str">
        <f aca="false">IF(R98="","",IF((IF(H61="",IF($D$34="",0,$D$34),H61))=0,0,MAX(0,2487697.24-(IF(H62&lt;&gt;"",H62,IF($D$36&lt;&gt;"",$D$36,IF((IF(H61="",IF($D$34="",0,$D$34),H61))=0,0,H51/(IF(H61="",IF($D$34="",0,$D$34),H61)))))))*(IF(H61="",IF($D$34="",0,$D$34),H61))))</f>
        <v/>
      </c>
      <c r="T98" s="75" t="str">
        <f aca="false">IF(R98="","",R98+S98)</f>
        <v/>
      </c>
    </row>
    <row r="99" customFormat="false" ht="15" hidden="false" customHeight="false" outlineLevel="0" collapsed="false">
      <c r="A99" s="74" t="n">
        <v>15</v>
      </c>
      <c r="B99" s="75" t="n">
        <v>2537451</v>
      </c>
      <c r="C99" s="76" t="n">
        <v>160023</v>
      </c>
      <c r="D99" s="76" t="n">
        <v>0</v>
      </c>
      <c r="E99" s="76" t="n">
        <v>160023</v>
      </c>
      <c r="F99" s="75" t="n">
        <f aca="false">IF(D51="","",IF(15&gt;IF(D54="",10,D54),"",D51*(1+IF(D52="",0,D52))^ROUNDDOWN((15-1)/IF(D53="",5,D53),0)))</f>
        <v>166487.9292</v>
      </c>
      <c r="G99" s="75" t="n">
        <f aca="false">IF(F99="","",IF((IF(D61="",IF($D$34="",0,$D$34),D61))=0,0,MAX(0,2537451.19-(IF(D62&lt;&gt;"",D62,IF($D$36&lt;&gt;"",$D$36,IF((IF(D61="",IF($D$34="",0,$D$34),D61))=0,0,D51/(IF(D61="",IF($D$34="",0,$D$34),D61)))))))*(IF(D61="",IF($D$34="",0,$D$34),D61))))</f>
        <v>0</v>
      </c>
      <c r="H99" s="75" t="n">
        <f aca="false">IF(F99="","",F99+G99)</f>
        <v>166487.9292</v>
      </c>
      <c r="I99" s="75" t="str">
        <f aca="false">IF(E51="","",IF(15&gt;IF(E54="",10,E54),"",E51*(1+IF(E52="",0,E52))^ROUNDDOWN((15-1)/IF(E53="",5,E53),0)))</f>
        <v/>
      </c>
      <c r="J99" s="75" t="str">
        <f aca="false">IF(I99="","",IF((IF(E61="",IF($D$34="",0,$D$34),E61))=0,0,MAX(0,2537451.19-(IF(E62&lt;&gt;"",E62,IF($D$36&lt;&gt;"",$D$36,IF((IF(E61="",IF($D$34="",0,$D$34),E61))=0,0,E51/(IF(E61="",IF($D$34="",0,$D$34),E61)))))))*(IF(E61="",IF($D$34="",0,$D$34),E61))))</f>
        <v/>
      </c>
      <c r="K99" s="75" t="str">
        <f aca="false">IF(I99="","",I99+J99)</f>
        <v/>
      </c>
      <c r="L99" s="75" t="str">
        <f aca="false">IF(F51="","",IF(15&gt;IF(F54="",10,F54),"",F51*(1+IF(F52="",0,F52))^ROUNDDOWN((15-1)/IF(F53="",5,F53),0)))</f>
        <v/>
      </c>
      <c r="M99" s="75" t="str">
        <f aca="false">IF(L99="","",IF((IF(F61="",IF($D$34="",0,$D$34),F61))=0,0,MAX(0,2537451.19-(IF(F62&lt;&gt;"",F62,IF($D$36&lt;&gt;"",$D$36,IF((IF(F61="",IF($D$34="",0,$D$34),F61))=0,0,F51/(IF(F61="",IF($D$34="",0,$D$34),F61)))))))*(IF(F61="",IF($D$34="",0,$D$34),F61))))</f>
        <v/>
      </c>
      <c r="N99" s="75" t="str">
        <f aca="false">IF(L99="","",L99+M99)</f>
        <v/>
      </c>
      <c r="O99" s="75" t="str">
        <f aca="false">IF(G51="","",IF(15&gt;IF(G54="",10,G54),"",G51*(1+IF(G52="",0,G52))^ROUNDDOWN((15-1)/IF(G53="",5,G53),0)))</f>
        <v/>
      </c>
      <c r="P99" s="75" t="str">
        <f aca="false">IF(O99="","",IF((IF(G61="",IF($D$34="",0,$D$34),G61))=0,0,MAX(0,2537451.19-(IF(G62&lt;&gt;"",G62,IF($D$36&lt;&gt;"",$D$36,IF((IF(G61="",IF($D$34="",0,$D$34),G61))=0,0,G51/(IF(G61="",IF($D$34="",0,$D$34),G61)))))))*(IF(G61="",IF($D$34="",0,$D$34),G61))))</f>
        <v/>
      </c>
      <c r="Q99" s="75" t="str">
        <f aca="false">IF(O99="","",O99+P99)</f>
        <v/>
      </c>
      <c r="R99" s="75" t="str">
        <f aca="false">IF(H51="","",IF(15&gt;IF(H54="",10,H54),"",H51*(1+IF(H52="",0,H52))^ROUNDDOWN((15-1)/IF(H53="",5,H53),0)))</f>
        <v/>
      </c>
      <c r="S99" s="75" t="str">
        <f aca="false">IF(R99="","",IF((IF(H61="",IF($D$34="",0,$D$34),H61))=0,0,MAX(0,2537451.19-(IF(H62&lt;&gt;"",H62,IF($D$36&lt;&gt;"",$D$36,IF((IF(H61="",IF($D$34="",0,$D$34),H61))=0,0,H51/(IF(H61="",IF($D$34="",0,$D$34),H61)))))))*(IF(H61="",IF($D$34="",0,$D$34),H61))))</f>
        <v/>
      </c>
      <c r="T99" s="75" t="str">
        <f aca="false">IF(R99="","",R99+S99)</f>
        <v/>
      </c>
    </row>
    <row r="100" customFormat="false" ht="15" hidden="false" customHeight="false" outlineLevel="0" collapsed="false">
      <c r="A100" s="74" t="n">
        <v>16</v>
      </c>
      <c r="B100" s="75" t="n">
        <v>2588200</v>
      </c>
      <c r="C100" s="76" t="n">
        <v>160023</v>
      </c>
      <c r="D100" s="76" t="n">
        <v>0</v>
      </c>
      <c r="E100" s="76" t="n">
        <v>160023</v>
      </c>
      <c r="F100" s="75" t="n">
        <f aca="false">IF(D51="","",IF(16&gt;IF(D54="",10,D54),"",D51*(1+IF(D52="",0,D52))^ROUNDDOWN((16-1)/IF(D53="",5,D53),0)))</f>
        <v>169817.687784</v>
      </c>
      <c r="G100" s="75" t="n">
        <f aca="false">IF(F100="","",IF((IF(D61="",IF($D$34="",0,$D$34),D61))=0,0,MAX(0,2588200.21-(IF(D62&lt;&gt;"",D62,IF($D$36&lt;&gt;"",$D$36,IF((IF(D61="",IF($D$34="",0,$D$34),D61))=0,0,D51/(IF(D61="",IF($D$34="",0,$D$34),D61)))))))*(IF(D61="",IF($D$34="",0,$D$34),D61))))</f>
        <v>0</v>
      </c>
      <c r="H100" s="75" t="n">
        <f aca="false">IF(F100="","",F100+G100)</f>
        <v>169817.687784</v>
      </c>
      <c r="I100" s="75" t="str">
        <f aca="false">IF(E51="","",IF(16&gt;IF(E54="",10,E54),"",E51*(1+IF(E52="",0,E52))^ROUNDDOWN((16-1)/IF(E53="",5,E53),0)))</f>
        <v/>
      </c>
      <c r="J100" s="75" t="str">
        <f aca="false">IF(I100="","",IF((IF(E61="",IF($D$34="",0,$D$34),E61))=0,0,MAX(0,2588200.21-(IF(E62&lt;&gt;"",E62,IF($D$36&lt;&gt;"",$D$36,IF((IF(E61="",IF($D$34="",0,$D$34),E61))=0,0,E51/(IF(E61="",IF($D$34="",0,$D$34),E61)))))))*(IF(E61="",IF($D$34="",0,$D$34),E61))))</f>
        <v/>
      </c>
      <c r="K100" s="75" t="str">
        <f aca="false">IF(I100="","",I100+J100)</f>
        <v/>
      </c>
      <c r="L100" s="75" t="str">
        <f aca="false">IF(F51="","",IF(16&gt;IF(F54="",10,F54),"",F51*(1+IF(F52="",0,F52))^ROUNDDOWN((16-1)/IF(F53="",5,F53),0)))</f>
        <v/>
      </c>
      <c r="M100" s="75" t="str">
        <f aca="false">IF(L100="","",IF((IF(F61="",IF($D$34="",0,$D$34),F61))=0,0,MAX(0,2588200.21-(IF(F62&lt;&gt;"",F62,IF($D$36&lt;&gt;"",$D$36,IF((IF(F61="",IF($D$34="",0,$D$34),F61))=0,0,F51/(IF(F61="",IF($D$34="",0,$D$34),F61)))))))*(IF(F61="",IF($D$34="",0,$D$34),F61))))</f>
        <v/>
      </c>
      <c r="N100" s="75" t="str">
        <f aca="false">IF(L100="","",L100+M100)</f>
        <v/>
      </c>
      <c r="O100" s="75" t="str">
        <f aca="false">IF(G51="","",IF(16&gt;IF(G54="",10,G54),"",G51*(1+IF(G52="",0,G52))^ROUNDDOWN((16-1)/IF(G53="",5,G53),0)))</f>
        <v/>
      </c>
      <c r="P100" s="75" t="str">
        <f aca="false">IF(O100="","",IF((IF(G61="",IF($D$34="",0,$D$34),G61))=0,0,MAX(0,2588200.21-(IF(G62&lt;&gt;"",G62,IF($D$36&lt;&gt;"",$D$36,IF((IF(G61="",IF($D$34="",0,$D$34),G61))=0,0,G51/(IF(G61="",IF($D$34="",0,$D$34),G61)))))))*(IF(G61="",IF($D$34="",0,$D$34),G61))))</f>
        <v/>
      </c>
      <c r="Q100" s="75" t="str">
        <f aca="false">IF(O100="","",O100+P100)</f>
        <v/>
      </c>
      <c r="R100" s="75" t="str">
        <f aca="false">IF(H51="","",IF(16&gt;IF(H54="",10,H54),"",H51*(1+IF(H52="",0,H52))^ROUNDDOWN((16-1)/IF(H53="",5,H53),0)))</f>
        <v/>
      </c>
      <c r="S100" s="75" t="str">
        <f aca="false">IF(R100="","",IF((IF(H61="",IF($D$34="",0,$D$34),H61))=0,0,MAX(0,2588200.21-(IF(H62&lt;&gt;"",H62,IF($D$36&lt;&gt;"",$D$36,IF((IF(H61="",IF($D$34="",0,$D$34),H61))=0,0,H51/(IF(H61="",IF($D$34="",0,$D$34),H61)))))))*(IF(H61="",IF($D$34="",0,$D$34),H61))))</f>
        <v/>
      </c>
      <c r="T100" s="75" t="str">
        <f aca="false">IF(R100="","",R100+S100)</f>
        <v/>
      </c>
    </row>
    <row r="101" customFormat="false" ht="15" hidden="false" customHeight="false" outlineLevel="0" collapsed="false">
      <c r="A101" s="74" t="n">
        <v>17</v>
      </c>
      <c r="B101" s="75" t="n">
        <v>2639964</v>
      </c>
      <c r="C101" s="76" t="n">
        <v>160023</v>
      </c>
      <c r="D101" s="76" t="n">
        <v>0</v>
      </c>
      <c r="E101" s="76" t="n">
        <v>160023</v>
      </c>
      <c r="F101" s="75" t="n">
        <f aca="false">IF(D51="","",IF(17&gt;IF(D54="",10,D54),"",D51*(1+IF(D52="",0,D52))^ROUNDDOWN((17-1)/IF(D53="",5,D53),0)))</f>
        <v>169817.687784</v>
      </c>
      <c r="G101" s="75" t="n">
        <f aca="false">IF(F101="","",IF((IF(D61="",IF($D$34="",0,$D$34),D61))=0,0,MAX(0,2639964.21-(IF(D62&lt;&gt;"",D62,IF($D$36&lt;&gt;"",$D$36,IF((IF(D61="",IF($D$34="",0,$D$34),D61))=0,0,D51/(IF(D61="",IF($D$34="",0,$D$34),D61)))))))*(IF(D61="",IF($D$34="",0,$D$34),D61))))</f>
        <v>0</v>
      </c>
      <c r="H101" s="75" t="n">
        <f aca="false">IF(F101="","",F101+G101)</f>
        <v>169817.687784</v>
      </c>
      <c r="I101" s="75" t="str">
        <f aca="false">IF(E51="","",IF(17&gt;IF(E54="",10,E54),"",E51*(1+IF(E52="",0,E52))^ROUNDDOWN((17-1)/IF(E53="",5,E53),0)))</f>
        <v/>
      </c>
      <c r="J101" s="75" t="str">
        <f aca="false">IF(I101="","",IF((IF(E61="",IF($D$34="",0,$D$34),E61))=0,0,MAX(0,2639964.21-(IF(E62&lt;&gt;"",E62,IF($D$36&lt;&gt;"",$D$36,IF((IF(E61="",IF($D$34="",0,$D$34),E61))=0,0,E51/(IF(E61="",IF($D$34="",0,$D$34),E61)))))))*(IF(E61="",IF($D$34="",0,$D$34),E61))))</f>
        <v/>
      </c>
      <c r="K101" s="75" t="str">
        <f aca="false">IF(I101="","",I101+J101)</f>
        <v/>
      </c>
      <c r="L101" s="75" t="str">
        <f aca="false">IF(F51="","",IF(17&gt;IF(F54="",10,F54),"",F51*(1+IF(F52="",0,F52))^ROUNDDOWN((17-1)/IF(F53="",5,F53),0)))</f>
        <v/>
      </c>
      <c r="M101" s="75" t="str">
        <f aca="false">IF(L101="","",IF((IF(F61="",IF($D$34="",0,$D$34),F61))=0,0,MAX(0,2639964.21-(IF(F62&lt;&gt;"",F62,IF($D$36&lt;&gt;"",$D$36,IF((IF(F61="",IF($D$34="",0,$D$34),F61))=0,0,F51/(IF(F61="",IF($D$34="",0,$D$34),F61)))))))*(IF(F61="",IF($D$34="",0,$D$34),F61))))</f>
        <v/>
      </c>
      <c r="N101" s="75" t="str">
        <f aca="false">IF(L101="","",L101+M101)</f>
        <v/>
      </c>
      <c r="O101" s="75" t="str">
        <f aca="false">IF(G51="","",IF(17&gt;IF(G54="",10,G54),"",G51*(1+IF(G52="",0,G52))^ROUNDDOWN((17-1)/IF(G53="",5,G53),0)))</f>
        <v/>
      </c>
      <c r="P101" s="75" t="str">
        <f aca="false">IF(O101="","",IF((IF(G61="",IF($D$34="",0,$D$34),G61))=0,0,MAX(0,2639964.21-(IF(G62&lt;&gt;"",G62,IF($D$36&lt;&gt;"",$D$36,IF((IF(G61="",IF($D$34="",0,$D$34),G61))=0,0,G51/(IF(G61="",IF($D$34="",0,$D$34),G61)))))))*(IF(G61="",IF($D$34="",0,$D$34),G61))))</f>
        <v/>
      </c>
      <c r="Q101" s="75" t="str">
        <f aca="false">IF(O101="","",O101+P101)</f>
        <v/>
      </c>
      <c r="R101" s="75" t="str">
        <f aca="false">IF(H51="","",IF(17&gt;IF(H54="",10,H54),"",H51*(1+IF(H52="",0,H52))^ROUNDDOWN((17-1)/IF(H53="",5,H53),0)))</f>
        <v/>
      </c>
      <c r="S101" s="75" t="str">
        <f aca="false">IF(R101="","",IF((IF(H61="",IF($D$34="",0,$D$34),H61))=0,0,MAX(0,2639964.21-(IF(H62&lt;&gt;"",H62,IF($D$36&lt;&gt;"",$D$36,IF((IF(H61="",IF($D$34="",0,$D$34),H61))=0,0,H51/(IF(H61="",IF($D$34="",0,$D$34),H61)))))))*(IF(H61="",IF($D$34="",0,$D$34),H61))))</f>
        <v/>
      </c>
      <c r="T101" s="75" t="str">
        <f aca="false">IF(R101="","",R101+S101)</f>
        <v/>
      </c>
    </row>
    <row r="102" customFormat="false" ht="15" hidden="false" customHeight="false" outlineLevel="0" collapsed="false">
      <c r="A102" s="74" t="n">
        <v>18</v>
      </c>
      <c r="B102" s="75" t="n">
        <v>2692763</v>
      </c>
      <c r="C102" s="76" t="n">
        <v>160023</v>
      </c>
      <c r="D102" s="76" t="n">
        <v>0</v>
      </c>
      <c r="E102" s="76" t="n">
        <v>160023</v>
      </c>
      <c r="F102" s="75" t="n">
        <f aca="false">IF(D51="","",IF(18&gt;IF(D54="",10,D54),"",D51*(1+IF(D52="",0,D52))^ROUNDDOWN((18-1)/IF(D53="",5,D53),0)))</f>
        <v>169817.687784</v>
      </c>
      <c r="G102" s="75" t="n">
        <f aca="false">IF(F102="","",IF((IF(D61="",IF($D$34="",0,$D$34),D61))=0,0,MAX(0,2692763.5-(IF(D62&lt;&gt;"",D62,IF($D$36&lt;&gt;"",$D$36,IF((IF(D61="",IF($D$34="",0,$D$34),D61))=0,0,D51/(IF(D61="",IF($D$34="",0,$D$34),D61)))))))*(IF(D61="",IF($D$34="",0,$D$34),D61))))</f>
        <v>0</v>
      </c>
      <c r="H102" s="75" t="n">
        <f aca="false">IF(F102="","",F102+G102)</f>
        <v>169817.687784</v>
      </c>
      <c r="I102" s="75" t="str">
        <f aca="false">IF(E51="","",IF(18&gt;IF(E54="",10,E54),"",E51*(1+IF(E52="",0,E52))^ROUNDDOWN((18-1)/IF(E53="",5,E53),0)))</f>
        <v/>
      </c>
      <c r="J102" s="75" t="str">
        <f aca="false">IF(I102="","",IF((IF(E61="",IF($D$34="",0,$D$34),E61))=0,0,MAX(0,2692763.5-(IF(E62&lt;&gt;"",E62,IF($D$36&lt;&gt;"",$D$36,IF((IF(E61="",IF($D$34="",0,$D$34),E61))=0,0,E51/(IF(E61="",IF($D$34="",0,$D$34),E61)))))))*(IF(E61="",IF($D$34="",0,$D$34),E61))))</f>
        <v/>
      </c>
      <c r="K102" s="75" t="str">
        <f aca="false">IF(I102="","",I102+J102)</f>
        <v/>
      </c>
      <c r="L102" s="75" t="str">
        <f aca="false">IF(F51="","",IF(18&gt;IF(F54="",10,F54),"",F51*(1+IF(F52="",0,F52))^ROUNDDOWN((18-1)/IF(F53="",5,F53),0)))</f>
        <v/>
      </c>
      <c r="M102" s="75" t="str">
        <f aca="false">IF(L102="","",IF((IF(F61="",IF($D$34="",0,$D$34),F61))=0,0,MAX(0,2692763.5-(IF(F62&lt;&gt;"",F62,IF($D$36&lt;&gt;"",$D$36,IF((IF(F61="",IF($D$34="",0,$D$34),F61))=0,0,F51/(IF(F61="",IF($D$34="",0,$D$34),F61)))))))*(IF(F61="",IF($D$34="",0,$D$34),F61))))</f>
        <v/>
      </c>
      <c r="N102" s="75" t="str">
        <f aca="false">IF(L102="","",L102+M102)</f>
        <v/>
      </c>
      <c r="O102" s="75" t="str">
        <f aca="false">IF(G51="","",IF(18&gt;IF(G54="",10,G54),"",G51*(1+IF(G52="",0,G52))^ROUNDDOWN((18-1)/IF(G53="",5,G53),0)))</f>
        <v/>
      </c>
      <c r="P102" s="75" t="str">
        <f aca="false">IF(O102="","",IF((IF(G61="",IF($D$34="",0,$D$34),G61))=0,0,MAX(0,2692763.5-(IF(G62&lt;&gt;"",G62,IF($D$36&lt;&gt;"",$D$36,IF((IF(G61="",IF($D$34="",0,$D$34),G61))=0,0,G51/(IF(G61="",IF($D$34="",0,$D$34),G61)))))))*(IF(G61="",IF($D$34="",0,$D$34),G61))))</f>
        <v/>
      </c>
      <c r="Q102" s="75" t="str">
        <f aca="false">IF(O102="","",O102+P102)</f>
        <v/>
      </c>
      <c r="R102" s="75" t="str">
        <f aca="false">IF(H51="","",IF(18&gt;IF(H54="",10,H54),"",H51*(1+IF(H52="",0,H52))^ROUNDDOWN((18-1)/IF(H53="",5,H53),0)))</f>
        <v/>
      </c>
      <c r="S102" s="75" t="str">
        <f aca="false">IF(R102="","",IF((IF(H61="",IF($D$34="",0,$D$34),H61))=0,0,MAX(0,2692763.5-(IF(H62&lt;&gt;"",H62,IF($D$36&lt;&gt;"",$D$36,IF((IF(H61="",IF($D$34="",0,$D$34),H61))=0,0,H51/(IF(H61="",IF($D$34="",0,$D$34),H61)))))))*(IF(H61="",IF($D$34="",0,$D$34),H61))))</f>
        <v/>
      </c>
      <c r="T102" s="75" t="str">
        <f aca="false">IF(R102="","",R102+S102)</f>
        <v/>
      </c>
    </row>
    <row r="103" customFormat="false" ht="15" hidden="false" customHeight="false" outlineLevel="0" collapsed="false">
      <c r="A103" s="74" t="n">
        <v>19</v>
      </c>
      <c r="B103" s="75" t="n">
        <v>2746619</v>
      </c>
      <c r="C103" s="76" t="n">
        <v>160023</v>
      </c>
      <c r="D103" s="76" t="n">
        <v>0</v>
      </c>
      <c r="E103" s="76" t="n">
        <v>160023</v>
      </c>
      <c r="F103" s="75" t="n">
        <f aca="false">IF(D51="","",IF(19&gt;IF(D54="",10,D54),"",D51*(1+IF(D52="",0,D52))^ROUNDDOWN((19-1)/IF(D53="",5,D53),0)))</f>
        <v>169817.687784</v>
      </c>
      <c r="G103" s="75" t="n">
        <f aca="false">IF(F103="","",IF((IF(D61="",IF($D$34="",0,$D$34),D61))=0,0,MAX(0,2746618.77-(IF(D62&lt;&gt;"",D62,IF($D$36&lt;&gt;"",$D$36,IF((IF(D61="",IF($D$34="",0,$D$34),D61))=0,0,D51/(IF(D61="",IF($D$34="",0,$D$34),D61)))))))*(IF(D61="",IF($D$34="",0,$D$34),D61))))</f>
        <v>0</v>
      </c>
      <c r="H103" s="75" t="n">
        <f aca="false">IF(F103="","",F103+G103)</f>
        <v>169817.687784</v>
      </c>
      <c r="I103" s="75" t="str">
        <f aca="false">IF(E51="","",IF(19&gt;IF(E54="",10,E54),"",E51*(1+IF(E52="",0,E52))^ROUNDDOWN((19-1)/IF(E53="",5,E53),0)))</f>
        <v/>
      </c>
      <c r="J103" s="75" t="str">
        <f aca="false">IF(I103="","",IF((IF(E61="",IF($D$34="",0,$D$34),E61))=0,0,MAX(0,2746618.77-(IF(E62&lt;&gt;"",E62,IF($D$36&lt;&gt;"",$D$36,IF((IF(E61="",IF($D$34="",0,$D$34),E61))=0,0,E51/(IF(E61="",IF($D$34="",0,$D$34),E61)))))))*(IF(E61="",IF($D$34="",0,$D$34),E61))))</f>
        <v/>
      </c>
      <c r="K103" s="75" t="str">
        <f aca="false">IF(I103="","",I103+J103)</f>
        <v/>
      </c>
      <c r="L103" s="75" t="str">
        <f aca="false">IF(F51="","",IF(19&gt;IF(F54="",10,F54),"",F51*(1+IF(F52="",0,F52))^ROUNDDOWN((19-1)/IF(F53="",5,F53),0)))</f>
        <v/>
      </c>
      <c r="M103" s="75" t="str">
        <f aca="false">IF(L103="","",IF((IF(F61="",IF($D$34="",0,$D$34),F61))=0,0,MAX(0,2746618.77-(IF(F62&lt;&gt;"",F62,IF($D$36&lt;&gt;"",$D$36,IF((IF(F61="",IF($D$34="",0,$D$34),F61))=0,0,F51/(IF(F61="",IF($D$34="",0,$D$34),F61)))))))*(IF(F61="",IF($D$34="",0,$D$34),F61))))</f>
        <v/>
      </c>
      <c r="N103" s="75" t="str">
        <f aca="false">IF(L103="","",L103+M103)</f>
        <v/>
      </c>
      <c r="O103" s="75" t="str">
        <f aca="false">IF(G51="","",IF(19&gt;IF(G54="",10,G54),"",G51*(1+IF(G52="",0,G52))^ROUNDDOWN((19-1)/IF(G53="",5,G53),0)))</f>
        <v/>
      </c>
      <c r="P103" s="75" t="str">
        <f aca="false">IF(O103="","",IF((IF(G61="",IF($D$34="",0,$D$34),G61))=0,0,MAX(0,2746618.77-(IF(G62&lt;&gt;"",G62,IF($D$36&lt;&gt;"",$D$36,IF((IF(G61="",IF($D$34="",0,$D$34),G61))=0,0,G51/(IF(G61="",IF($D$34="",0,$D$34),G61)))))))*(IF(G61="",IF($D$34="",0,$D$34),G61))))</f>
        <v/>
      </c>
      <c r="Q103" s="75" t="str">
        <f aca="false">IF(O103="","",O103+P103)</f>
        <v/>
      </c>
      <c r="R103" s="75" t="str">
        <f aca="false">IF(H51="","",IF(19&gt;IF(H54="",10,H54),"",H51*(1+IF(H52="",0,H52))^ROUNDDOWN((19-1)/IF(H53="",5,H53),0)))</f>
        <v/>
      </c>
      <c r="S103" s="75" t="str">
        <f aca="false">IF(R103="","",IF((IF(H61="",IF($D$34="",0,$D$34),H61))=0,0,MAX(0,2746618.77-(IF(H62&lt;&gt;"",H62,IF($D$36&lt;&gt;"",$D$36,IF((IF(H61="",IF($D$34="",0,$D$34),H61))=0,0,H51/(IF(H61="",IF($D$34="",0,$D$34),H61)))))))*(IF(H61="",IF($D$34="",0,$D$34),H61))))</f>
        <v/>
      </c>
      <c r="T103" s="75" t="str">
        <f aca="false">IF(R103="","",R103+S103)</f>
        <v/>
      </c>
    </row>
    <row r="104" customFormat="false" ht="15" hidden="false" customHeight="false" outlineLevel="0" collapsed="false">
      <c r="A104" s="74" t="n">
        <v>20</v>
      </c>
      <c r="B104" s="75" t="n">
        <v>2801551</v>
      </c>
      <c r="C104" s="76" t="n">
        <v>160023</v>
      </c>
      <c r="D104" s="76" t="n">
        <v>0</v>
      </c>
      <c r="E104" s="76" t="n">
        <v>160023</v>
      </c>
      <c r="F104" s="75" t="n">
        <f aca="false">IF(D51="","",IF(20&gt;IF(D54="",10,D54),"",D51*(1+IF(D52="",0,D52))^ROUNDDOWN((20-1)/IF(D53="",5,D53),0)))</f>
        <v>169817.687784</v>
      </c>
      <c r="G104" s="75" t="n">
        <f aca="false">IF(F104="","",IF((IF(D61="",IF($D$34="",0,$D$34),D61))=0,0,MAX(0,2801551.14-(IF(D62&lt;&gt;"",D62,IF($D$36&lt;&gt;"",$D$36,IF((IF(D61="",IF($D$34="",0,$D$34),D61))=0,0,D51/(IF(D61="",IF($D$34="",0,$D$34),D61)))))))*(IF(D61="",IF($D$34="",0,$D$34),D61))))</f>
        <v>0</v>
      </c>
      <c r="H104" s="75" t="n">
        <f aca="false">IF(F104="","",F104+G104)</f>
        <v>169817.687784</v>
      </c>
      <c r="I104" s="75" t="str">
        <f aca="false">IF(E51="","",IF(20&gt;IF(E54="",10,E54),"",E51*(1+IF(E52="",0,E52))^ROUNDDOWN((20-1)/IF(E53="",5,E53),0)))</f>
        <v/>
      </c>
      <c r="J104" s="75" t="str">
        <f aca="false">IF(I104="","",IF((IF(E61="",IF($D$34="",0,$D$34),E61))=0,0,MAX(0,2801551.14-(IF(E62&lt;&gt;"",E62,IF($D$36&lt;&gt;"",$D$36,IF((IF(E61="",IF($D$34="",0,$D$34),E61))=0,0,E51/(IF(E61="",IF($D$34="",0,$D$34),E61)))))))*(IF(E61="",IF($D$34="",0,$D$34),E61))))</f>
        <v/>
      </c>
      <c r="K104" s="75" t="str">
        <f aca="false">IF(I104="","",I104+J104)</f>
        <v/>
      </c>
      <c r="L104" s="75" t="str">
        <f aca="false">IF(F51="","",IF(20&gt;IF(F54="",10,F54),"",F51*(1+IF(F52="",0,F52))^ROUNDDOWN((20-1)/IF(F53="",5,F53),0)))</f>
        <v/>
      </c>
      <c r="M104" s="75" t="str">
        <f aca="false">IF(L104="","",IF((IF(F61="",IF($D$34="",0,$D$34),F61))=0,0,MAX(0,2801551.14-(IF(F62&lt;&gt;"",F62,IF($D$36&lt;&gt;"",$D$36,IF((IF(F61="",IF($D$34="",0,$D$34),F61))=0,0,F51/(IF(F61="",IF($D$34="",0,$D$34),F61)))))))*(IF(F61="",IF($D$34="",0,$D$34),F61))))</f>
        <v/>
      </c>
      <c r="N104" s="75" t="str">
        <f aca="false">IF(L104="","",L104+M104)</f>
        <v/>
      </c>
      <c r="O104" s="75" t="str">
        <f aca="false">IF(G51="","",IF(20&gt;IF(G54="",10,G54),"",G51*(1+IF(G52="",0,G52))^ROUNDDOWN((20-1)/IF(G53="",5,G53),0)))</f>
        <v/>
      </c>
      <c r="P104" s="75" t="str">
        <f aca="false">IF(O104="","",IF((IF(G61="",IF($D$34="",0,$D$34),G61))=0,0,MAX(0,2801551.14-(IF(G62&lt;&gt;"",G62,IF($D$36&lt;&gt;"",$D$36,IF((IF(G61="",IF($D$34="",0,$D$34),G61))=0,0,G51/(IF(G61="",IF($D$34="",0,$D$34),G61)))))))*(IF(G61="",IF($D$34="",0,$D$34),G61))))</f>
        <v/>
      </c>
      <c r="Q104" s="75" t="str">
        <f aca="false">IF(O104="","",O104+P104)</f>
        <v/>
      </c>
      <c r="R104" s="75" t="str">
        <f aca="false">IF(H51="","",IF(20&gt;IF(H54="",10,H54),"",H51*(1+IF(H52="",0,H52))^ROUNDDOWN((20-1)/IF(H53="",5,H53),0)))</f>
        <v/>
      </c>
      <c r="S104" s="75" t="str">
        <f aca="false">IF(R104="","",IF((IF(H61="",IF($D$34="",0,$D$34),H61))=0,0,MAX(0,2801551.14-(IF(H62&lt;&gt;"",H62,IF($D$36&lt;&gt;"",$D$36,IF((IF(H61="",IF($D$34="",0,$D$34),H61))=0,0,H51/(IF(H61="",IF($D$34="",0,$D$34),H61)))))))*(IF(H61="",IF($D$34="",0,$D$34),H61))))</f>
        <v/>
      </c>
      <c r="T104" s="75" t="str">
        <f aca="false">IF(R104="","",R104+S104)</f>
        <v/>
      </c>
    </row>
    <row r="105" customFormat="false" ht="15" hidden="false" customHeight="false" outlineLevel="0" collapsed="false">
      <c r="A105" s="77" t="s">
        <v>394</v>
      </c>
      <c r="C105" s="78" t="n">
        <f aca="false">IF(COUNT(C85:C104)=0,"",SUM(C85:C104))</f>
        <v>3200460</v>
      </c>
      <c r="D105" s="78" t="n">
        <f aca="false">IF(COUNT(D85:D104)=0,"",SUM(D85:D104))</f>
        <v>0</v>
      </c>
      <c r="E105" s="78" t="n">
        <f aca="false">IF(COUNT(E85:E104)=0,"",SUM(E85:E104))</f>
        <v>3200460</v>
      </c>
      <c r="F105" s="78" t="n">
        <f aca="false">IF(COUNT(F85:F104)=0,"",SUM(F85:F104))</f>
        <v>3297760.38492</v>
      </c>
      <c r="G105" s="78" t="n">
        <f aca="false">IF(COUNT(G85:G104)=0,"",SUM(G85:G104))</f>
        <v>0</v>
      </c>
      <c r="H105" s="78" t="n">
        <f aca="false">IF(COUNT(H85:H104)=0,"",SUM(H85:H104))</f>
        <v>3297760.38492</v>
      </c>
      <c r="I105" s="78" t="str">
        <f aca="false">IF(COUNT(I85:I104)=0,"",SUM(I85:I104))</f>
        <v/>
      </c>
      <c r="J105" s="78" t="str">
        <f aca="false">IF(COUNT(J85:J104)=0,"",SUM(J85:J104))</f>
        <v/>
      </c>
      <c r="K105" s="78" t="str">
        <f aca="false">IF(COUNT(K85:K104)=0,"",SUM(K85:K104))</f>
        <v/>
      </c>
      <c r="L105" s="78" t="str">
        <f aca="false">IF(COUNT(L85:L104)=0,"",SUM(L85:L104))</f>
        <v/>
      </c>
      <c r="M105" s="78" t="str">
        <f aca="false">IF(COUNT(M85:M104)=0,"",SUM(M85:M104))</f>
        <v/>
      </c>
      <c r="N105" s="78" t="str">
        <f aca="false">IF(COUNT(N85:N104)=0,"",SUM(N85:N104))</f>
        <v/>
      </c>
      <c r="O105" s="78" t="str">
        <f aca="false">IF(COUNT(O85:O104)=0,"",SUM(O85:O104))</f>
        <v/>
      </c>
      <c r="P105" s="78" t="str">
        <f aca="false">IF(COUNT(P85:P104)=0,"",SUM(P85:P104))</f>
        <v/>
      </c>
      <c r="Q105" s="78" t="str">
        <f aca="false">IF(COUNT(Q85:Q104)=0,"",SUM(Q85:Q104))</f>
        <v/>
      </c>
      <c r="R105" s="78" t="str">
        <f aca="false">IF(COUNT(R85:R104)=0,"",SUM(R85:R104))</f>
        <v/>
      </c>
      <c r="S105" s="78" t="str">
        <f aca="false">IF(COUNT(S85:S104)=0,"",SUM(S85:S104))</f>
        <v/>
      </c>
      <c r="T105" s="78" t="str">
        <f aca="false">IF(COUNT(T85:T104)=0,"",SUM(T85:T104))</f>
        <v/>
      </c>
    </row>
    <row r="106" customFormat="false" ht="15" hidden="false" customHeight="false" outlineLevel="0" collapsed="false">
      <c r="A106" s="69" t="s">
        <v>395</v>
      </c>
      <c r="B106" s="69"/>
      <c r="C106" s="69"/>
      <c r="D106" s="69"/>
      <c r="E106" s="69"/>
      <c r="F106" s="69"/>
      <c r="G106" s="69"/>
      <c r="H106" s="69"/>
      <c r="I106" s="69"/>
      <c r="J106" s="69"/>
      <c r="K106" s="69"/>
      <c r="L106" s="69"/>
      <c r="M106" s="69"/>
      <c r="N106" s="69"/>
      <c r="O106" s="69"/>
      <c r="P106" s="69"/>
      <c r="Q106" s="69"/>
      <c r="R106" s="69"/>
      <c r="S106" s="69"/>
      <c r="T106" s="69"/>
    </row>
  </sheetData>
  <mergeCells count="82">
    <mergeCell ref="A2:J2"/>
    <mergeCell ref="A3:J3"/>
    <mergeCell ref="A4:J4"/>
    <mergeCell ref="A5:J5"/>
    <mergeCell ref="A6:J6"/>
    <mergeCell ref="A7:J7"/>
    <mergeCell ref="A8:J8"/>
    <mergeCell ref="A10:C10"/>
    <mergeCell ref="D10:J10"/>
    <mergeCell ref="A11:C11"/>
    <mergeCell ref="D11:J11"/>
    <mergeCell ref="A12:C12"/>
    <mergeCell ref="D12:J12"/>
    <mergeCell ref="A13:C13"/>
    <mergeCell ref="D13:J13"/>
    <mergeCell ref="A14:C14"/>
    <mergeCell ref="D14:J14"/>
    <mergeCell ref="G17:J17"/>
    <mergeCell ref="G18:J18"/>
    <mergeCell ref="G19:J19"/>
    <mergeCell ref="A20:D20"/>
    <mergeCell ref="A21:J21"/>
    <mergeCell ref="A24:C24"/>
    <mergeCell ref="A25:C25"/>
    <mergeCell ref="E25:J25"/>
    <mergeCell ref="A26:C26"/>
    <mergeCell ref="E26:J26"/>
    <mergeCell ref="A27:C27"/>
    <mergeCell ref="A28:C28"/>
    <mergeCell ref="A29:C29"/>
    <mergeCell ref="E29:J29"/>
    <mergeCell ref="A30:J30"/>
    <mergeCell ref="A31:J31"/>
    <mergeCell ref="A34:C34"/>
    <mergeCell ref="E34:J34"/>
    <mergeCell ref="A35:C35"/>
    <mergeCell ref="E35:J35"/>
    <mergeCell ref="A36:C36"/>
    <mergeCell ref="E36:J36"/>
    <mergeCell ref="A37:C37"/>
    <mergeCell ref="E37:J37"/>
    <mergeCell ref="A38:C38"/>
    <mergeCell ref="A39:C39"/>
    <mergeCell ref="A40:C40"/>
    <mergeCell ref="A41:C41"/>
    <mergeCell ref="A46:G46"/>
    <mergeCell ref="A49:C49"/>
    <mergeCell ref="A50:C50"/>
    <mergeCell ref="A51:C51"/>
    <mergeCell ref="A52:C52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2:C62"/>
    <mergeCell ref="A63:C63"/>
    <mergeCell ref="A64:C64"/>
    <mergeCell ref="A65:C65"/>
    <mergeCell ref="A66:C66"/>
    <mergeCell ref="A67:C67"/>
    <mergeCell ref="A68:C68"/>
    <mergeCell ref="A69:C69"/>
    <mergeCell ref="A70:C70"/>
    <mergeCell ref="A71:C71"/>
    <mergeCell ref="A72:C72"/>
    <mergeCell ref="A73:C73"/>
    <mergeCell ref="A74:C74"/>
    <mergeCell ref="A76:J76"/>
    <mergeCell ref="A78:J78"/>
    <mergeCell ref="A82:T82"/>
    <mergeCell ref="C83:E83"/>
    <mergeCell ref="F83:H83"/>
    <mergeCell ref="I83:K83"/>
    <mergeCell ref="L83:N83"/>
    <mergeCell ref="O83:Q83"/>
    <mergeCell ref="R83:T83"/>
    <mergeCell ref="A106:T106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T10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6"/>
    <col collapsed="false" customWidth="true" hidden="false" outlineLevel="0" max="2" min="2" style="0" width="22"/>
    <col collapsed="false" customWidth="true" hidden="false" outlineLevel="0" max="3" min="3" style="0" width="11"/>
    <col collapsed="false" customWidth="true" hidden="false" outlineLevel="0" max="4" min="4" style="0" width="14"/>
    <col collapsed="false" customWidth="true" hidden="false" outlineLevel="0" max="6" min="5" style="0" width="12"/>
    <col collapsed="false" customWidth="true" hidden="false" outlineLevel="0" max="7" min="7" style="0" width="14"/>
    <col collapsed="false" customWidth="true" hidden="false" outlineLevel="0" max="9" min="8" style="0" width="13"/>
    <col collapsed="false" customWidth="true" hidden="false" outlineLevel="0" max="10" min="10" style="0" width="26"/>
  </cols>
  <sheetData>
    <row r="1" customFormat="false" ht="16.15" hidden="false" customHeight="false" outlineLevel="0" collapsed="false">
      <c r="A1" s="3" t="s">
        <v>963</v>
      </c>
    </row>
    <row r="2" customFormat="false" ht="25.5" hidden="false" customHeight="true" outlineLevel="0" collapsed="false">
      <c r="A2" s="12" t="s">
        <v>251</v>
      </c>
      <c r="B2" s="12"/>
      <c r="C2" s="12"/>
      <c r="D2" s="12"/>
      <c r="E2" s="12"/>
      <c r="F2" s="12"/>
      <c r="G2" s="12"/>
      <c r="H2" s="12"/>
      <c r="I2" s="12"/>
      <c r="J2" s="12"/>
    </row>
    <row r="3" customFormat="false" ht="15" hidden="false" customHeight="true" outlineLevel="0" collapsed="false">
      <c r="A3" s="16" t="s">
        <v>964</v>
      </c>
      <c r="B3" s="16"/>
      <c r="C3" s="16"/>
      <c r="D3" s="16"/>
      <c r="E3" s="16"/>
      <c r="F3" s="16"/>
      <c r="G3" s="16"/>
      <c r="H3" s="16"/>
      <c r="I3" s="16"/>
      <c r="J3" s="16"/>
    </row>
    <row r="4" customFormat="false" ht="30" hidden="false" customHeight="true" outlineLevel="0" collapsed="false">
      <c r="A4" s="17" t="s">
        <v>113</v>
      </c>
      <c r="B4" s="17"/>
      <c r="C4" s="17"/>
      <c r="D4" s="17"/>
      <c r="E4" s="17"/>
      <c r="F4" s="17"/>
      <c r="G4" s="17"/>
      <c r="H4" s="17"/>
      <c r="I4" s="17"/>
      <c r="J4" s="17"/>
    </row>
    <row r="5" customFormat="false" ht="15" hidden="false" customHeight="true" outlineLevel="0" collapsed="false">
      <c r="A5" s="79" t="s">
        <v>65</v>
      </c>
      <c r="B5" s="79"/>
      <c r="C5" s="79"/>
      <c r="D5" s="79"/>
      <c r="E5" s="79"/>
      <c r="F5" s="79"/>
      <c r="G5" s="79"/>
      <c r="H5" s="79"/>
      <c r="I5" s="79"/>
      <c r="J5" s="79"/>
    </row>
    <row r="6" customFormat="false" ht="15" hidden="false" customHeight="true" outlineLevel="0" collapsed="false">
      <c r="A6" s="19" t="s">
        <v>114</v>
      </c>
      <c r="B6" s="19"/>
      <c r="C6" s="19"/>
      <c r="D6" s="19"/>
      <c r="E6" s="19"/>
      <c r="F6" s="19"/>
      <c r="G6" s="19"/>
      <c r="H6" s="19"/>
      <c r="I6" s="19"/>
      <c r="J6" s="19"/>
    </row>
    <row r="7" customFormat="false" ht="23.85" hidden="false" customHeight="true" outlineLevel="0" collapsed="false">
      <c r="A7" s="20" t="s">
        <v>965</v>
      </c>
      <c r="B7" s="20"/>
      <c r="C7" s="20"/>
      <c r="D7" s="20"/>
      <c r="E7" s="20"/>
      <c r="F7" s="20"/>
      <c r="G7" s="20"/>
      <c r="H7" s="20"/>
      <c r="I7" s="20"/>
      <c r="J7" s="20"/>
    </row>
    <row r="8" customFormat="false" ht="15" hidden="false" customHeight="true" outlineLevel="0" collapsed="false">
      <c r="A8" s="21" t="s">
        <v>254</v>
      </c>
      <c r="B8" s="21"/>
      <c r="C8" s="21"/>
      <c r="D8" s="21"/>
      <c r="E8" s="21"/>
      <c r="F8" s="21"/>
      <c r="G8" s="21"/>
      <c r="H8" s="21"/>
      <c r="I8" s="21"/>
      <c r="J8" s="21"/>
    </row>
    <row r="10" customFormat="false" ht="15" hidden="false" customHeight="true" outlineLevel="0" collapsed="false">
      <c r="A10" s="22" t="s">
        <v>255</v>
      </c>
      <c r="B10" s="22"/>
      <c r="C10" s="22"/>
      <c r="D10" s="23" t="s">
        <v>966</v>
      </c>
      <c r="E10" s="23"/>
      <c r="F10" s="23"/>
      <c r="G10" s="23"/>
      <c r="H10" s="23"/>
      <c r="I10" s="23"/>
      <c r="J10" s="23"/>
    </row>
    <row r="11" customFormat="false" ht="15" hidden="false" customHeight="true" outlineLevel="0" collapsed="false">
      <c r="A11" s="22" t="s">
        <v>257</v>
      </c>
      <c r="B11" s="22"/>
      <c r="C11" s="22"/>
      <c r="D11" s="86"/>
      <c r="E11" s="86"/>
      <c r="F11" s="86"/>
      <c r="G11" s="86"/>
      <c r="H11" s="86"/>
      <c r="I11" s="86"/>
      <c r="J11" s="86"/>
    </row>
    <row r="12" customFormat="false" ht="15" hidden="false" customHeight="true" outlineLevel="0" collapsed="false">
      <c r="A12" s="22" t="s">
        <v>259</v>
      </c>
      <c r="B12" s="22"/>
      <c r="C12" s="22"/>
      <c r="D12" s="23" t="s">
        <v>967</v>
      </c>
      <c r="E12" s="23"/>
      <c r="F12" s="23"/>
      <c r="G12" s="23"/>
      <c r="H12" s="23"/>
      <c r="I12" s="23"/>
      <c r="J12" s="23"/>
    </row>
    <row r="13" customFormat="false" ht="15" hidden="false" customHeight="true" outlineLevel="0" collapsed="false">
      <c r="A13" s="22" t="s">
        <v>261</v>
      </c>
      <c r="B13" s="22"/>
      <c r="C13" s="22"/>
      <c r="D13" s="24" t="n">
        <v>2470265.14</v>
      </c>
      <c r="E13" s="24"/>
      <c r="F13" s="24"/>
      <c r="G13" s="24"/>
      <c r="H13" s="24"/>
      <c r="I13" s="24"/>
      <c r="J13" s="24"/>
    </row>
    <row r="14" customFormat="false" ht="35.05" hidden="false" customHeight="true" outlineLevel="0" collapsed="false">
      <c r="A14" s="22" t="s">
        <v>262</v>
      </c>
      <c r="B14" s="22"/>
      <c r="C14" s="22"/>
      <c r="D14" s="22" t="s">
        <v>968</v>
      </c>
      <c r="E14" s="22"/>
      <c r="F14" s="22"/>
      <c r="G14" s="22"/>
      <c r="H14" s="22"/>
      <c r="I14" s="22"/>
      <c r="J14" s="22"/>
    </row>
    <row r="16" customFormat="false" ht="15" hidden="false" customHeight="false" outlineLevel="0" collapsed="false">
      <c r="A16" s="25" t="s">
        <v>264</v>
      </c>
    </row>
    <row r="17" customFormat="false" ht="22.35" hidden="false" customHeight="true" outlineLevel="0" collapsed="false">
      <c r="A17" s="26" t="s">
        <v>265</v>
      </c>
      <c r="B17" s="26" t="s">
        <v>266</v>
      </c>
      <c r="C17" s="26" t="s">
        <v>267</v>
      </c>
      <c r="D17" s="26" t="s">
        <v>268</v>
      </c>
      <c r="E17" s="26" t="s">
        <v>269</v>
      </c>
      <c r="F17" s="26" t="s">
        <v>270</v>
      </c>
      <c r="G17" s="26" t="s">
        <v>271</v>
      </c>
      <c r="H17" s="26"/>
      <c r="I17" s="26"/>
      <c r="J17" s="26"/>
    </row>
    <row r="18" customFormat="false" ht="23.85" hidden="false" customHeight="true" outlineLevel="0" collapsed="false">
      <c r="A18" s="27" t="s">
        <v>951</v>
      </c>
      <c r="B18" s="28" t="s">
        <v>404</v>
      </c>
      <c r="C18" s="28" t="s">
        <v>969</v>
      </c>
      <c r="D18" s="80" t="n">
        <v>16438.86</v>
      </c>
      <c r="E18" s="30" t="n">
        <f aca="false">IF(D18="","",D18*12)</f>
        <v>197266.32</v>
      </c>
      <c r="F18" s="31" t="n">
        <v>3.2</v>
      </c>
      <c r="G18" s="32" t="s">
        <v>970</v>
      </c>
      <c r="H18" s="32"/>
      <c r="I18" s="32"/>
      <c r="J18" s="32"/>
    </row>
    <row r="19" customFormat="false" ht="15" hidden="false" customHeight="true" outlineLevel="0" collapsed="false">
      <c r="A19" s="27" t="s">
        <v>954</v>
      </c>
      <c r="B19" s="28" t="s">
        <v>971</v>
      </c>
      <c r="C19" s="28" t="s">
        <v>972</v>
      </c>
      <c r="D19" s="33"/>
      <c r="E19" s="30" t="str">
        <f aca="false">IF(D19="","",D19*12)</f>
        <v/>
      </c>
      <c r="F19" s="31" t="n">
        <v>3.3</v>
      </c>
      <c r="G19" s="32" t="s">
        <v>973</v>
      </c>
      <c r="H19" s="32"/>
      <c r="I19" s="32"/>
      <c r="J19" s="32"/>
    </row>
    <row r="20" customFormat="false" ht="46.25" hidden="false" customHeight="true" outlineLevel="0" collapsed="false">
      <c r="A20" s="27" t="s">
        <v>974</v>
      </c>
      <c r="B20" s="28" t="s">
        <v>975</v>
      </c>
      <c r="C20" s="28" t="s">
        <v>444</v>
      </c>
      <c r="D20" s="33"/>
      <c r="E20" s="30" t="str">
        <f aca="false">IF(D20="","",D20*12)</f>
        <v/>
      </c>
      <c r="F20" s="31" t="n">
        <v>3.5</v>
      </c>
      <c r="G20" s="32" t="s">
        <v>976</v>
      </c>
      <c r="H20" s="32"/>
      <c r="I20" s="32"/>
      <c r="J20" s="32"/>
    </row>
    <row r="21" customFormat="false" ht="15" hidden="false" customHeight="false" outlineLevel="0" collapsed="false">
      <c r="A21" s="34" t="s">
        <v>284</v>
      </c>
      <c r="B21" s="34"/>
      <c r="C21" s="34"/>
      <c r="D21" s="34"/>
      <c r="E21" s="35" t="n">
        <f aca="false">IF(SUMPRODUCT(E18:E20,F18:F20)=0,"",SUMPRODUCT(E18:E20,F18:F20))</f>
        <v>631252.224</v>
      </c>
      <c r="F21" s="36"/>
      <c r="G21" s="36"/>
      <c r="H21" s="36"/>
      <c r="I21" s="36"/>
      <c r="J21" s="36"/>
    </row>
    <row r="22" customFormat="false" ht="15" hidden="false" customHeight="false" outlineLevel="0" collapsed="false">
      <c r="A22" s="37" t="s">
        <v>510</v>
      </c>
      <c r="B22" s="37"/>
      <c r="C22" s="37"/>
      <c r="D22" s="37"/>
      <c r="E22" s="37"/>
      <c r="F22" s="37"/>
      <c r="G22" s="37"/>
      <c r="H22" s="37"/>
      <c r="I22" s="37"/>
      <c r="J22" s="37"/>
    </row>
    <row r="24" customFormat="false" ht="15" hidden="false" customHeight="false" outlineLevel="0" collapsed="false">
      <c r="A24" s="25" t="s">
        <v>958</v>
      </c>
    </row>
    <row r="25" customFormat="false" ht="15" hidden="false" customHeight="true" outlineLevel="0" collapsed="false">
      <c r="A25" s="22" t="s">
        <v>287</v>
      </c>
      <c r="B25" s="22"/>
      <c r="C25" s="22"/>
      <c r="D25" s="35" t="n">
        <v>197266.32</v>
      </c>
      <c r="E25" s="36"/>
      <c r="F25" s="36"/>
      <c r="G25" s="36"/>
      <c r="H25" s="36"/>
      <c r="I25" s="36"/>
      <c r="J25" s="36"/>
    </row>
    <row r="26" customFormat="false" ht="15" hidden="false" customHeight="true" outlineLevel="0" collapsed="false">
      <c r="A26" s="22" t="s">
        <v>288</v>
      </c>
      <c r="B26" s="22"/>
      <c r="C26" s="22"/>
      <c r="D26" s="84" t="n">
        <v>0.0798563347738454</v>
      </c>
      <c r="E26" s="39" t="s">
        <v>289</v>
      </c>
      <c r="F26" s="39"/>
      <c r="G26" s="39"/>
      <c r="H26" s="39"/>
      <c r="I26" s="39"/>
      <c r="J26" s="39"/>
    </row>
    <row r="27" customFormat="false" ht="15" hidden="false" customHeight="true" outlineLevel="0" collapsed="false">
      <c r="A27" s="22" t="s">
        <v>977</v>
      </c>
      <c r="B27" s="22"/>
      <c r="C27" s="22"/>
      <c r="D27" s="35" t="n">
        <v>17700</v>
      </c>
      <c r="E27" s="39" t="s">
        <v>291</v>
      </c>
      <c r="F27" s="39"/>
      <c r="G27" s="39"/>
      <c r="H27" s="39"/>
      <c r="I27" s="39"/>
      <c r="J27" s="39"/>
    </row>
    <row r="28" customFormat="false" ht="15" hidden="false" customHeight="true" outlineLevel="0" collapsed="false">
      <c r="A28" s="22" t="s">
        <v>292</v>
      </c>
      <c r="B28" s="22"/>
      <c r="C28" s="22"/>
      <c r="D28" s="35" t="n">
        <v>0</v>
      </c>
      <c r="E28" s="36"/>
      <c r="F28" s="36"/>
      <c r="G28" s="36"/>
      <c r="H28" s="36"/>
      <c r="I28" s="36"/>
      <c r="J28" s="36"/>
    </row>
    <row r="29" customFormat="false" ht="15" hidden="false" customHeight="true" outlineLevel="0" collapsed="false">
      <c r="A29" s="22" t="s">
        <v>293</v>
      </c>
      <c r="B29" s="22"/>
      <c r="C29" s="22"/>
      <c r="D29" s="35" t="n">
        <v>214966.32</v>
      </c>
      <c r="E29" s="36"/>
      <c r="F29" s="36"/>
      <c r="G29" s="36"/>
      <c r="H29" s="36"/>
      <c r="I29" s="36"/>
      <c r="J29" s="36"/>
    </row>
    <row r="30" customFormat="false" ht="15" hidden="false" customHeight="true" outlineLevel="0" collapsed="false">
      <c r="A30" s="22" t="s">
        <v>294</v>
      </c>
      <c r="B30" s="22"/>
      <c r="C30" s="22"/>
      <c r="D30" s="84" t="n">
        <v>0.0870215575320793</v>
      </c>
      <c r="E30" s="39" t="s">
        <v>295</v>
      </c>
      <c r="F30" s="39"/>
      <c r="G30" s="39"/>
      <c r="H30" s="39"/>
      <c r="I30" s="39"/>
      <c r="J30" s="39"/>
    </row>
    <row r="31" customFormat="false" ht="27.75" hidden="false" customHeight="true" outlineLevel="0" collapsed="false">
      <c r="A31" s="40" t="s">
        <v>978</v>
      </c>
      <c r="B31" s="40"/>
      <c r="C31" s="40"/>
      <c r="D31" s="40"/>
      <c r="E31" s="40"/>
      <c r="F31" s="40"/>
      <c r="G31" s="40"/>
      <c r="H31" s="40"/>
      <c r="I31" s="40"/>
      <c r="J31" s="40"/>
    </row>
    <row r="32" customFormat="false" ht="15" hidden="false" customHeight="false" outlineLevel="0" collapsed="false">
      <c r="A32" s="85" t="s">
        <v>979</v>
      </c>
      <c r="B32" s="85"/>
      <c r="C32" s="85"/>
      <c r="D32" s="85"/>
      <c r="E32" s="85"/>
      <c r="F32" s="85"/>
      <c r="G32" s="85"/>
      <c r="H32" s="85"/>
      <c r="I32" s="85"/>
      <c r="J32" s="85"/>
    </row>
    <row r="34" customFormat="false" ht="15" hidden="false" customHeight="false" outlineLevel="0" collapsed="false">
      <c r="A34" s="25" t="s">
        <v>298</v>
      </c>
    </row>
    <row r="35" customFormat="false" ht="15" hidden="false" customHeight="true" outlineLevel="0" collapsed="false">
      <c r="A35" s="22" t="s">
        <v>299</v>
      </c>
      <c r="B35" s="22"/>
      <c r="C35" s="22"/>
      <c r="D35" s="42" t="n">
        <v>0</v>
      </c>
      <c r="E35" s="43" t="s">
        <v>300</v>
      </c>
      <c r="F35" s="43"/>
      <c r="G35" s="43"/>
      <c r="H35" s="43"/>
      <c r="I35" s="43"/>
      <c r="J35" s="43"/>
    </row>
    <row r="36" customFormat="false" ht="15" hidden="false" customHeight="true" outlineLevel="0" collapsed="false">
      <c r="A36" s="22" t="s">
        <v>301</v>
      </c>
      <c r="B36" s="22"/>
      <c r="C36" s="22"/>
      <c r="D36" s="34" t="s">
        <v>302</v>
      </c>
      <c r="E36" s="43" t="s">
        <v>303</v>
      </c>
      <c r="F36" s="43"/>
      <c r="G36" s="43"/>
      <c r="H36" s="43"/>
      <c r="I36" s="43"/>
      <c r="J36" s="43"/>
    </row>
    <row r="37" customFormat="false" ht="15" hidden="false" customHeight="true" outlineLevel="0" collapsed="false">
      <c r="A37" s="22" t="s">
        <v>304</v>
      </c>
      <c r="B37" s="22"/>
      <c r="C37" s="22"/>
      <c r="D37" s="44"/>
      <c r="E37" s="43" t="s">
        <v>305</v>
      </c>
      <c r="F37" s="43"/>
      <c r="G37" s="43"/>
      <c r="H37" s="43"/>
      <c r="I37" s="43"/>
      <c r="J37" s="43"/>
    </row>
    <row r="38" customFormat="false" ht="23.85" hidden="false" customHeight="true" outlineLevel="0" collapsed="false">
      <c r="A38" s="22" t="s">
        <v>306</v>
      </c>
      <c r="B38" s="22"/>
      <c r="C38" s="22"/>
      <c r="D38" s="45" t="str">
        <f aca="false">IF(OR($D$35="",E18=""),"",IF($D$35=0,"— (no % rent)",E18/$D$35))</f>
        <v>— (no % rent)</v>
      </c>
      <c r="E38" s="43" t="s">
        <v>307</v>
      </c>
      <c r="F38" s="43"/>
      <c r="G38" s="43"/>
      <c r="H38" s="43"/>
      <c r="I38" s="43"/>
      <c r="J38" s="43"/>
    </row>
    <row r="39" customFormat="false" ht="23.85" hidden="false" customHeight="true" outlineLevel="0" collapsed="false">
      <c r="A39" s="22" t="s">
        <v>308</v>
      </c>
      <c r="B39" s="22"/>
      <c r="C39" s="22"/>
      <c r="D39" s="45" t="str">
        <f aca="false">IF($D$35="","",IF($D$35=0,"— (no % rent)",IF($D$37&lt;&gt;"",$D$37,IF(E18="","",E18/$D$35))))</f>
        <v>— (no % rent)</v>
      </c>
      <c r="E39" s="36"/>
      <c r="F39" s="36"/>
      <c r="G39" s="36"/>
      <c r="H39" s="36"/>
      <c r="I39" s="36"/>
      <c r="J39" s="36"/>
    </row>
    <row r="40" customFormat="false" ht="15" hidden="false" customHeight="true" outlineLevel="0" collapsed="false">
      <c r="A40" s="22" t="s">
        <v>309</v>
      </c>
      <c r="B40" s="22"/>
      <c r="C40" s="22"/>
      <c r="D40" s="45" t="n">
        <f aca="false">IF(OR($D$35="",D13=""),"",IF($D$35=0,0,IF($D$39="","",MAX(0,D13-$D$39)*$D$35)))</f>
        <v>0</v>
      </c>
      <c r="E40" s="36"/>
      <c r="F40" s="36"/>
      <c r="G40" s="36"/>
      <c r="H40" s="36"/>
      <c r="I40" s="36"/>
      <c r="J40" s="36"/>
    </row>
    <row r="41" customFormat="false" ht="15" hidden="false" customHeight="true" outlineLevel="0" collapsed="false">
      <c r="A41" s="22" t="s">
        <v>310</v>
      </c>
      <c r="B41" s="22"/>
      <c r="C41" s="22"/>
      <c r="D41" s="45" t="n">
        <f aca="false">IF(OR(D40="",E18=""),"",E18+D40)</f>
        <v>197266.32</v>
      </c>
      <c r="E41" s="36"/>
      <c r="F41" s="36"/>
      <c r="G41" s="36"/>
      <c r="H41" s="36"/>
      <c r="I41" s="36"/>
      <c r="J41" s="36"/>
    </row>
    <row r="42" customFormat="false" ht="15" hidden="false" customHeight="true" outlineLevel="0" collapsed="false">
      <c r="A42" s="22" t="s">
        <v>311</v>
      </c>
      <c r="B42" s="22"/>
      <c r="C42" s="22"/>
      <c r="D42" s="46" t="n">
        <f aca="false">IF(OR(D41="",D13=""),"",D41/D13)</f>
        <v>0.0798563347738454</v>
      </c>
      <c r="E42" s="36"/>
      <c r="F42" s="36"/>
      <c r="G42" s="36"/>
      <c r="H42" s="36"/>
      <c r="I42" s="36"/>
      <c r="J42" s="36"/>
    </row>
    <row r="44" customFormat="false" ht="15" hidden="false" customHeight="false" outlineLevel="0" collapsed="false">
      <c r="A44" s="25" t="s">
        <v>312</v>
      </c>
    </row>
    <row r="45" customFormat="false" ht="22.35" hidden="false" customHeight="false" outlineLevel="0" collapsed="false">
      <c r="A45" s="26" t="s">
        <v>313</v>
      </c>
      <c r="B45" s="26" t="s">
        <v>314</v>
      </c>
      <c r="C45" s="26" t="s">
        <v>315</v>
      </c>
      <c r="D45" s="26" t="s">
        <v>316</v>
      </c>
      <c r="E45" s="26" t="s">
        <v>317</v>
      </c>
      <c r="F45" s="26" t="s">
        <v>318</v>
      </c>
      <c r="G45" s="26" t="s">
        <v>319</v>
      </c>
      <c r="H45" s="26" t="s">
        <v>269</v>
      </c>
      <c r="I45" s="26" t="s">
        <v>320</v>
      </c>
      <c r="J45" s="26" t="s">
        <v>321</v>
      </c>
    </row>
    <row r="46" customFormat="false" ht="53.7" hidden="false" customHeight="false" outlineLevel="0" collapsed="false">
      <c r="A46" s="48"/>
      <c r="B46" s="47" t="s">
        <v>962</v>
      </c>
      <c r="C46" s="48"/>
      <c r="D46" s="48"/>
      <c r="E46" s="48"/>
      <c r="F46" s="48"/>
      <c r="G46" s="48"/>
      <c r="H46" s="48"/>
      <c r="I46" s="48"/>
      <c r="J46" s="47" t="s">
        <v>423</v>
      </c>
    </row>
    <row r="47" customFormat="false" ht="15" hidden="false" customHeight="false" outlineLevel="0" collapsed="false">
      <c r="A47" s="52" t="s">
        <v>344</v>
      </c>
      <c r="B47" s="52"/>
      <c r="C47" s="52"/>
      <c r="D47" s="52"/>
      <c r="E47" s="52"/>
      <c r="F47" s="52"/>
      <c r="G47" s="52"/>
      <c r="H47" s="53" t="str">
        <f aca="false">IF(COUNT(H46:H46)=0,"",AVERAGE(H46:H46))</f>
        <v/>
      </c>
      <c r="I47" s="52" t="str">
        <f aca="false">IF(COUNT(H46:H46)=0,"",TEXT(MIN(H46:H46),"$#,##0")&amp;" – "&amp;TEXT(MAX(H46:H46),"$#,##0"))</f>
        <v/>
      </c>
      <c r="J47" s="36"/>
    </row>
    <row r="49" customFormat="false" ht="15" hidden="false" customHeight="false" outlineLevel="0" collapsed="false">
      <c r="A49" s="25" t="s">
        <v>345</v>
      </c>
    </row>
    <row r="50" customFormat="false" ht="53.7" hidden="false" customHeight="true" outlineLevel="0" collapsed="false">
      <c r="A50" s="26" t="s">
        <v>346</v>
      </c>
      <c r="B50" s="26"/>
      <c r="C50" s="26"/>
      <c r="D50" s="26" t="s">
        <v>347</v>
      </c>
      <c r="E50" s="26" t="s">
        <v>348</v>
      </c>
      <c r="F50" s="26" t="s">
        <v>349</v>
      </c>
      <c r="G50" s="26" t="s">
        <v>350</v>
      </c>
      <c r="H50" s="54" t="s">
        <v>351</v>
      </c>
    </row>
    <row r="51" customFormat="false" ht="68.65" hidden="false" customHeight="true" outlineLevel="0" collapsed="false">
      <c r="A51" s="22" t="s">
        <v>352</v>
      </c>
      <c r="B51" s="22"/>
      <c r="C51" s="22"/>
      <c r="D51" s="55" t="s">
        <v>353</v>
      </c>
      <c r="E51" s="56"/>
      <c r="F51" s="56"/>
      <c r="G51" s="56"/>
      <c r="H51" s="56"/>
    </row>
    <row r="52" customFormat="false" ht="15" hidden="false" customHeight="true" outlineLevel="0" collapsed="false">
      <c r="A52" s="22" t="s">
        <v>354</v>
      </c>
      <c r="B52" s="22"/>
      <c r="C52" s="22"/>
      <c r="D52" s="57" t="n">
        <v>197266</v>
      </c>
      <c r="E52" s="57"/>
      <c r="F52" s="57"/>
      <c r="G52" s="57"/>
      <c r="H52" s="57"/>
    </row>
    <row r="53" customFormat="false" ht="15" hidden="false" customHeight="true" outlineLevel="0" collapsed="false">
      <c r="A53" s="22" t="s">
        <v>355</v>
      </c>
      <c r="B53" s="22"/>
      <c r="C53" s="22"/>
      <c r="D53" s="58" t="n">
        <v>0.02</v>
      </c>
      <c r="E53" s="58"/>
      <c r="F53" s="58"/>
      <c r="G53" s="58"/>
      <c r="H53" s="58"/>
    </row>
    <row r="54" customFormat="false" ht="15" hidden="false" customHeight="true" outlineLevel="0" collapsed="false">
      <c r="A54" s="22" t="s">
        <v>356</v>
      </c>
      <c r="B54" s="22"/>
      <c r="C54" s="22"/>
      <c r="D54" s="56" t="n">
        <v>5</v>
      </c>
      <c r="E54" s="56"/>
      <c r="F54" s="56"/>
      <c r="G54" s="56"/>
      <c r="H54" s="56"/>
    </row>
    <row r="55" customFormat="false" ht="15" hidden="false" customHeight="true" outlineLevel="0" collapsed="false">
      <c r="A55" s="22" t="s">
        <v>357</v>
      </c>
      <c r="B55" s="22"/>
      <c r="C55" s="22"/>
      <c r="D55" s="59" t="n">
        <v>20</v>
      </c>
      <c r="E55" s="59"/>
      <c r="F55" s="59"/>
      <c r="G55" s="59"/>
      <c r="H55" s="59"/>
    </row>
    <row r="56" customFormat="false" ht="15" hidden="false" customHeight="true" outlineLevel="0" collapsed="false">
      <c r="A56" s="22" t="s">
        <v>358</v>
      </c>
      <c r="B56" s="22"/>
      <c r="C56" s="22"/>
      <c r="D56" s="60" t="n">
        <f aca="false">IF(OR(D52="",E18=""),"",D52-E18)</f>
        <v>-0.320000000006985</v>
      </c>
      <c r="E56" s="60" t="str">
        <f aca="false">IF(OR(E52="",E18=""),"",E52-E18)</f>
        <v/>
      </c>
      <c r="F56" s="60" t="str">
        <f aca="false">IF(OR(F52="",E18=""),"",F52-E18)</f>
        <v/>
      </c>
      <c r="G56" s="60" t="str">
        <f aca="false">IF(OR(G52="",E18=""),"",G52-E18)</f>
        <v/>
      </c>
      <c r="H56" s="60" t="str">
        <f aca="false">IF(OR(H52="",E18=""),"",H52-E18)</f>
        <v/>
      </c>
    </row>
    <row r="57" customFormat="false" ht="15" hidden="false" customHeight="true" outlineLevel="0" collapsed="false">
      <c r="A57" s="22" t="s">
        <v>359</v>
      </c>
      <c r="B57" s="22"/>
      <c r="C57" s="22"/>
      <c r="D57" s="61" t="n">
        <f aca="false">IF(OR(D52="",E18=""),"",(D52-E18)/E18)</f>
        <v>-1.62217250267043E-006</v>
      </c>
      <c r="E57" s="61" t="str">
        <f aca="false">IF(OR(E52="",E18=""),"",(E52-E18)/E18)</f>
        <v/>
      </c>
      <c r="F57" s="61" t="str">
        <f aca="false">IF(OR(F52="",E18=""),"",(F52-E18)/E18)</f>
        <v/>
      </c>
      <c r="G57" s="61" t="str">
        <f aca="false">IF(OR(G52="",E18=""),"",(G52-E18)/E18)</f>
        <v/>
      </c>
      <c r="H57" s="61" t="str">
        <f aca="false">IF(OR(H52="",E18=""),"",(H52-E18)/E18)</f>
        <v/>
      </c>
    </row>
    <row r="58" customFormat="false" ht="15" hidden="false" customHeight="true" outlineLevel="0" collapsed="false">
      <c r="A58" s="22" t="s">
        <v>360</v>
      </c>
      <c r="B58" s="22"/>
      <c r="C58" s="22"/>
      <c r="D58" s="62" t="n">
        <f aca="false">IF(OR(D52="",D13=""),"",D52/D13)</f>
        <v>0.0798562052330949</v>
      </c>
      <c r="E58" s="62" t="str">
        <f aca="false">IF(OR(E52="",D13=""),"",E52/D13)</f>
        <v/>
      </c>
      <c r="F58" s="62" t="str">
        <f aca="false">IF(OR(F52="",D13=""),"",F52/D13)</f>
        <v/>
      </c>
      <c r="G58" s="62" t="str">
        <f aca="false">IF(OR(G52="",D13=""),"",G52/D13)</f>
        <v/>
      </c>
      <c r="H58" s="62" t="str">
        <f aca="false">IF(OR(H52="",D13=""),"",H52/D13)</f>
        <v/>
      </c>
    </row>
    <row r="59" customFormat="false" ht="15" hidden="false" customHeight="true" outlineLevel="0" collapsed="false">
      <c r="A59" s="22" t="s">
        <v>361</v>
      </c>
      <c r="B59" s="22"/>
      <c r="C59" s="22"/>
      <c r="D59" s="61" t="str">
        <f aca="false">IF(OR(D52="",H47=""),"",(D52-H47)/H47)</f>
        <v/>
      </c>
      <c r="E59" s="61" t="str">
        <f aca="false">IF(OR(E52="",H47=""),"",(E52-H47)/H47)</f>
        <v/>
      </c>
      <c r="F59" s="61" t="str">
        <f aca="false">IF(OR(F52="",H47=""),"",(F52-H47)/H47)</f>
        <v/>
      </c>
      <c r="G59" s="61" t="str">
        <f aca="false">IF(OR(G52="",H47=""),"",(G52-H47)/H47)</f>
        <v/>
      </c>
      <c r="H59" s="61" t="str">
        <f aca="false">IF(OR(H52="",H47=""),"",(H52-H47)/H47)</f>
        <v/>
      </c>
    </row>
    <row r="60" customFormat="false" ht="15" hidden="false" customHeight="true" outlineLevel="0" collapsed="false">
      <c r="A60" s="22" t="s">
        <v>362</v>
      </c>
      <c r="B60" s="22"/>
      <c r="C60" s="22"/>
      <c r="D60" s="63" t="n">
        <f aca="true">IF(D52="","",SUMPRODUCT(D52*(1+IF(D53="",0,D53))^ROUNDDOWN((ROW(INDIRECT("1:10"))-1)/IF(D54="",5,D54),0)))</f>
        <v>1992386.6</v>
      </c>
      <c r="E60" s="63" t="str">
        <f aca="true">IF(E52="","",SUMPRODUCT(E52*(1+IF(E53="",0,E53))^ROUNDDOWN((ROW(INDIRECT("1:10"))-1)/IF(E54="",5,E54),0)))</f>
        <v/>
      </c>
      <c r="F60" s="63" t="str">
        <f aca="true">IF(F52="","",SUMPRODUCT(F52*(1+IF(F53="",0,F53))^ROUNDDOWN((ROW(INDIRECT("1:10"))-1)/IF(F54="",5,F54),0)))</f>
        <v/>
      </c>
      <c r="G60" s="63" t="str">
        <f aca="true">IF(G52="","",SUMPRODUCT(G52*(1+IF(G53="",0,G53))^ROUNDDOWN((ROW(INDIRECT("1:10"))-1)/IF(G54="",5,G54),0)))</f>
        <v/>
      </c>
      <c r="H60" s="63" t="str">
        <f aca="true">IF(H52="","",SUMPRODUCT(H52*(1+IF(H53="",0,H53))^ROUNDDOWN((ROW(INDIRECT("1:10"))-1)/IF(H54="",5,H54),0)))</f>
        <v/>
      </c>
    </row>
    <row r="61" customFormat="false" ht="15" hidden="false" customHeight="true" outlineLevel="0" collapsed="false">
      <c r="A61" s="22" t="s">
        <v>363</v>
      </c>
      <c r="B61" s="22"/>
      <c r="C61" s="22"/>
      <c r="D61" s="60" t="n">
        <f aca="false">IF(OR(D60="",E21=""),"",D60-E21)</f>
        <v>1361134.376</v>
      </c>
      <c r="E61" s="60" t="str">
        <f aca="false">IF(OR(E60="",E21=""),"",E60-E21)</f>
        <v/>
      </c>
      <c r="F61" s="60" t="str">
        <f aca="false">IF(OR(F60="",E21=""),"",F60-E21)</f>
        <v/>
      </c>
      <c r="G61" s="60" t="str">
        <f aca="false">IF(OR(G60="",E21=""),"",G60-E21)</f>
        <v/>
      </c>
      <c r="H61" s="60" t="str">
        <f aca="false">IF(OR(H60="",E21=""),"",H60-E21)</f>
        <v/>
      </c>
    </row>
    <row r="62" customFormat="false" ht="23.85" hidden="false" customHeight="true" outlineLevel="0" collapsed="false">
      <c r="A62" s="22" t="s">
        <v>364</v>
      </c>
      <c r="B62" s="22"/>
      <c r="C62" s="22"/>
      <c r="D62" s="58"/>
      <c r="E62" s="58"/>
      <c r="F62" s="58"/>
      <c r="G62" s="58"/>
      <c r="H62" s="58"/>
    </row>
    <row r="63" customFormat="false" ht="23.85" hidden="false" customHeight="true" outlineLevel="0" collapsed="false">
      <c r="A63" s="22" t="s">
        <v>365</v>
      </c>
      <c r="B63" s="22"/>
      <c r="C63" s="22"/>
      <c r="D63" s="57"/>
      <c r="E63" s="57"/>
      <c r="F63" s="57"/>
      <c r="G63" s="57"/>
      <c r="H63" s="57"/>
    </row>
    <row r="64" customFormat="false" ht="15" hidden="false" customHeight="true" outlineLevel="0" collapsed="false">
      <c r="A64" s="22" t="s">
        <v>366</v>
      </c>
      <c r="B64" s="22"/>
      <c r="C64" s="22"/>
      <c r="D64" s="63" t="str">
        <f aca="false">IF(OR(D52="",AND(D62="",$D$35="")),"",IF(IF(D62="",IF($D$35="",0,$D$35),D62)=0,"— (% rent removed)",IF(D63&lt;&gt;"",D63,IF($D$37&lt;&gt;"",$D$37,D52/IF(D62="",IF($D$35="",0,$D$35),D62)))))</f>
        <v>— (% rent removed)</v>
      </c>
      <c r="E64" s="63" t="str">
        <f aca="false">IF(OR(E52="",AND(E62="",$D$35="")),"",IF(IF(E62="",IF($D$35="",0,$D$35),E62)=0,"— (% rent removed)",IF(E63&lt;&gt;"",E63,IF($D$37&lt;&gt;"",$D$37,E52/IF(E62="",IF($D$35="",0,$D$35),E62)))))</f>
        <v/>
      </c>
      <c r="F64" s="63" t="str">
        <f aca="false">IF(OR(F52="",AND(F62="",$D$35="")),"",IF(IF(F62="",IF($D$35="",0,$D$35),F62)=0,"— (% rent removed)",IF(F63&lt;&gt;"",F63,IF($D$37&lt;&gt;"",$D$37,F52/IF(F62="",IF($D$35="",0,$D$35),F62)))))</f>
        <v/>
      </c>
      <c r="G64" s="63" t="str">
        <f aca="false">IF(OR(G52="",AND(G62="",$D$35="")),"",IF(IF(G62="",IF($D$35="",0,$D$35),G62)=0,"— (% rent removed)",IF(G63&lt;&gt;"",G63,IF($D$37&lt;&gt;"",$D$37,G52/IF(G62="",IF($D$35="",0,$D$35),G62)))))</f>
        <v/>
      </c>
      <c r="H64" s="63" t="str">
        <f aca="false">IF(OR(H52="",AND(H62="",$D$35="")),"",IF(IF(H62="",IF($D$35="",0,$D$35),H62)=0,"— (% rent removed)",IF(H63&lt;&gt;"",H63,IF($D$37&lt;&gt;"",$D$37,H52/IF(H62="",IF($D$35="",0,$D$35),H62)))))</f>
        <v/>
      </c>
    </row>
    <row r="65" customFormat="false" ht="15" hidden="false" customHeight="true" outlineLevel="0" collapsed="false">
      <c r="A65" s="22" t="s">
        <v>367</v>
      </c>
      <c r="B65" s="22"/>
      <c r="C65" s="22"/>
      <c r="D65" s="63" t="n">
        <f aca="false">IF(OR(D52="",AND(D62="",$D$35=""),D13=""),"",IF(IF(D62="",IF($D$35="",0,$D$35),D62)=0,0,MAX(0,D13-D64)*IF(D62="",IF($D$35="",0,$D$35),D62)))</f>
        <v>0</v>
      </c>
      <c r="E65" s="63" t="str">
        <f aca="false">IF(OR(E52="",AND(E62="",$D$35=""),D13=""),"",IF(IF(E62="",IF($D$35="",0,$D$35),E62)=0,0,MAX(0,D13-E64)*IF(E62="",IF($D$35="",0,$D$35),E62)))</f>
        <v/>
      </c>
      <c r="F65" s="63" t="str">
        <f aca="false">IF(OR(F52="",AND(F62="",$D$35=""),D13=""),"",IF(IF(F62="",IF($D$35="",0,$D$35),F62)=0,0,MAX(0,D13-F64)*IF(F62="",IF($D$35="",0,$D$35),F62)))</f>
        <v/>
      </c>
      <c r="G65" s="63" t="str">
        <f aca="false">IF(OR(G52="",AND(G62="",$D$35=""),D13=""),"",IF(IF(G62="",IF($D$35="",0,$D$35),G62)=0,0,MAX(0,D13-G64)*IF(G62="",IF($D$35="",0,$D$35),G62)))</f>
        <v/>
      </c>
      <c r="H65" s="63" t="str">
        <f aca="false">IF(OR(H52="",AND(H62="",$D$35=""),D13=""),"",IF(IF(H62="",IF($D$35="",0,$D$35),H62)=0,0,MAX(0,D13-H64)*IF(H62="",IF($D$35="",0,$D$35),H62)))</f>
        <v/>
      </c>
    </row>
    <row r="66" customFormat="false" ht="15" hidden="false" customHeight="true" outlineLevel="0" collapsed="false">
      <c r="A66" s="22" t="s">
        <v>368</v>
      </c>
      <c r="B66" s="22"/>
      <c r="C66" s="22"/>
      <c r="D66" s="63" t="n">
        <f aca="false">IF(OR(D52="",D65=""),"",D52+D65)</f>
        <v>197266</v>
      </c>
      <c r="E66" s="63" t="str">
        <f aca="false">IF(OR(E52="",E65=""),"",E52+E65)</f>
        <v/>
      </c>
      <c r="F66" s="63" t="str">
        <f aca="false">IF(OR(F52="",F65=""),"",F52+F65)</f>
        <v/>
      </c>
      <c r="G66" s="63" t="str">
        <f aca="false">IF(OR(G52="",G65=""),"",G52+G65)</f>
        <v/>
      </c>
      <c r="H66" s="63" t="str">
        <f aca="false">IF(OR(H52="",H65=""),"",H52+H65)</f>
        <v/>
      </c>
    </row>
    <row r="67" customFormat="false" ht="15" hidden="false" customHeight="true" outlineLevel="0" collapsed="false">
      <c r="A67" s="22" t="s">
        <v>369</v>
      </c>
      <c r="B67" s="22"/>
      <c r="C67" s="22"/>
      <c r="D67" s="62" t="n">
        <f aca="false">IF(OR(D66="",D13=""),"",D66/D13)</f>
        <v>0.0798562052330949</v>
      </c>
      <c r="E67" s="62" t="str">
        <f aca="false">IF(OR(E66="",D13=""),"",E66/D13)</f>
        <v/>
      </c>
      <c r="F67" s="62" t="str">
        <f aca="false">IF(OR(F66="",D13=""),"",F66/D13)</f>
        <v/>
      </c>
      <c r="G67" s="62" t="str">
        <f aca="false">IF(OR(G66="",D13=""),"",G66/D13)</f>
        <v/>
      </c>
      <c r="H67" s="62" t="str">
        <f aca="false">IF(OR(H66="",D13=""),"",H66/D13)</f>
        <v/>
      </c>
    </row>
    <row r="68" customFormat="false" ht="23.85" hidden="false" customHeight="true" outlineLevel="0" collapsed="false">
      <c r="A68" s="22" t="s">
        <v>370</v>
      </c>
      <c r="B68" s="22"/>
      <c r="C68" s="22"/>
      <c r="D68" s="64" t="n">
        <f aca="false">IF(D66="","",(736182.31-D66)/2470265.14)</f>
        <v>0.218161322553416</v>
      </c>
      <c r="E68" s="64" t="str">
        <f aca="false">IF(E66="","",(736182.31-E66)/2470265.14)</f>
        <v/>
      </c>
      <c r="F68" s="64" t="str">
        <f aca="false">IF(F66="","",(736182.31-F66)/2470265.14)</f>
        <v/>
      </c>
      <c r="G68" s="64" t="str">
        <f aca="false">IF(G66="","",(736182.31-G66)/2470265.14)</f>
        <v/>
      </c>
      <c r="H68" s="64" t="str">
        <f aca="false">IF(H66="","",(736182.31-H66)/2470265.14)</f>
        <v/>
      </c>
    </row>
    <row r="69" customFormat="false" ht="15" hidden="false" customHeight="true" outlineLevel="0" collapsed="false">
      <c r="A69" s="22" t="s">
        <v>371</v>
      </c>
      <c r="B69" s="22"/>
      <c r="C69" s="22"/>
      <c r="D69" s="63" t="n">
        <f aca="true">IF(OR(D52="",AND(D62="",$D$35=""),D13=""),"",IF(IF(D62="",IF($D$35="",0,$D$35),D62)=0,0,SUMPRODUCT(((D13*1.02^(ROW(INDIRECT("1:10"))-1))-(IF(D63&lt;&gt;"",D63,IF($D$37&lt;&gt;"",$D$37,(D52*(1+IF(D53="",0,D53))^ROUNDDOWN((ROW(INDIRECT("1:10"))-1)/IF(D54="",5,D54),0))/IF(D62="",IF($D$35="",0,$D$35),D62))))&gt;0)*((D13*1.02^(ROW(INDIRECT("1:10"))-1))-(IF(D63&lt;&gt;"",D63,IF($D$37&lt;&gt;"",$D$37,(D52*(1+IF(D53="",0,D53))^ROUNDDOWN((ROW(INDIRECT("1:10"))-1)/IF(D54="",5,D54),0))/IF(D62="",IF($D$35="",0,$D$35),D62))))))*IF(D62="",IF($D$35="",0,$D$35),D62)))</f>
        <v>0</v>
      </c>
      <c r="E69" s="63" t="str">
        <f aca="true">IF(OR(E52="",AND(E62="",$D$35=""),D13=""),"",IF(IF(E62="",IF($D$35="",0,$D$35),E62)=0,0,SUMPRODUCT(((D13*1.02^(ROW(INDIRECT("1:10"))-1))-(IF(E63&lt;&gt;"",E63,IF($D$37&lt;&gt;"",$D$37,(E52*(1+IF(E53="",0,E53))^ROUNDDOWN((ROW(INDIRECT("1:10"))-1)/IF(E54="",5,E54),0))/IF(E62="",IF($D$35="",0,$D$35),E62))))&gt;0)*((D13*1.02^(ROW(INDIRECT("1:10"))-1))-(IF(E63&lt;&gt;"",E63,IF($D$37&lt;&gt;"",$D$37,(E52*(1+IF(E53="",0,E53))^ROUNDDOWN((ROW(INDIRECT("1:10"))-1)/IF(E54="",5,E54),0))/IF(E62="",IF($D$35="",0,$D$35),E62))))))*IF(E62="",IF($D$35="",0,$D$35),E62)))</f>
        <v/>
      </c>
      <c r="F69" s="63" t="str">
        <f aca="true">IF(OR(F52="",AND(F62="",$D$35=""),D13=""),"",IF(IF(F62="",IF($D$35="",0,$D$35),F62)=0,0,SUMPRODUCT(((D13*1.02^(ROW(INDIRECT("1:10"))-1))-(IF(F63&lt;&gt;"",F63,IF($D$37&lt;&gt;"",$D$37,(F52*(1+IF(F53="",0,F53))^ROUNDDOWN((ROW(INDIRECT("1:10"))-1)/IF(F54="",5,F54),0))/IF(F62="",IF($D$35="",0,$D$35),F62))))&gt;0)*((D13*1.02^(ROW(INDIRECT("1:10"))-1))-(IF(F63&lt;&gt;"",F63,IF($D$37&lt;&gt;"",$D$37,(F52*(1+IF(F53="",0,F53))^ROUNDDOWN((ROW(INDIRECT("1:10"))-1)/IF(F54="",5,F54),0))/IF(F62="",IF($D$35="",0,$D$35),F62))))))*IF(F62="",IF($D$35="",0,$D$35),F62)))</f>
        <v/>
      </c>
      <c r="G69" s="63" t="str">
        <f aca="true">IF(OR(G52="",AND(G62="",$D$35=""),D13=""),"",IF(IF(G62="",IF($D$35="",0,$D$35),G62)=0,0,SUMPRODUCT(((D13*1.02^(ROW(INDIRECT("1:10"))-1))-(IF(G63&lt;&gt;"",G63,IF($D$37&lt;&gt;"",$D$37,(G52*(1+IF(G53="",0,G53))^ROUNDDOWN((ROW(INDIRECT("1:10"))-1)/IF(G54="",5,G54),0))/IF(G62="",IF($D$35="",0,$D$35),G62))))&gt;0)*((D13*1.02^(ROW(INDIRECT("1:10"))-1))-(IF(G63&lt;&gt;"",G63,IF($D$37&lt;&gt;"",$D$37,(G52*(1+IF(G53="",0,G53))^ROUNDDOWN((ROW(INDIRECT("1:10"))-1)/IF(G54="",5,G54),0))/IF(G62="",IF($D$35="",0,$D$35),G62))))))*IF(G62="",IF($D$35="",0,$D$35),G62)))</f>
        <v/>
      </c>
      <c r="H69" s="63" t="str">
        <f aca="true">IF(OR(H52="",AND(H62="",$D$35=""),D13=""),"",IF(IF(H62="",IF($D$35="",0,$D$35),H62)=0,0,SUMPRODUCT(((D13*1.02^(ROW(INDIRECT("1:10"))-1))-(IF(H63&lt;&gt;"",H63,IF($D$37&lt;&gt;"",$D$37,(H52*(1+IF(H53="",0,H53))^ROUNDDOWN((ROW(INDIRECT("1:10"))-1)/IF(H54="",5,H54),0))/IF(H62="",IF($D$35="",0,$D$35),H62))))&gt;0)*((D13*1.02^(ROW(INDIRECT("1:10"))-1))-(IF(H63&lt;&gt;"",H63,IF($D$37&lt;&gt;"",$D$37,(H52*(1+IF(H53="",0,H53))^ROUNDDOWN((ROW(INDIRECT("1:10"))-1)/IF(H54="",5,H54),0))/IF(H62="",IF($D$35="",0,$D$35),H62))))))*IF(H62="",IF($D$35="",0,$D$35),H62)))</f>
        <v/>
      </c>
    </row>
    <row r="70" customFormat="false" ht="15" hidden="false" customHeight="true" outlineLevel="0" collapsed="false">
      <c r="A70" s="22" t="s">
        <v>372</v>
      </c>
      <c r="B70" s="22"/>
      <c r="C70" s="22"/>
      <c r="D70" s="63" t="n">
        <f aca="false">IF(OR(D60="",D69=""),"",D60+D69)</f>
        <v>1992386.6</v>
      </c>
      <c r="E70" s="63" t="str">
        <f aca="false">IF(OR(E60="",E69=""),"",E60+E69)</f>
        <v/>
      </c>
      <c r="F70" s="63" t="str">
        <f aca="false">IF(OR(F60="",F69=""),"",F60+F69)</f>
        <v/>
      </c>
      <c r="G70" s="63" t="str">
        <f aca="false">IF(OR(G60="",G69=""),"",G60+G69)</f>
        <v/>
      </c>
      <c r="H70" s="63" t="str">
        <f aca="false">IF(OR(H60="",H69=""),"",H60+H69)</f>
        <v/>
      </c>
    </row>
    <row r="71" customFormat="false" ht="23.85" hidden="false" customHeight="true" outlineLevel="0" collapsed="false">
      <c r="A71" s="22" t="s">
        <v>373</v>
      </c>
      <c r="B71" s="22"/>
      <c r="C71" s="22"/>
      <c r="D71" s="65" t="n">
        <f aca="true">IF(D52="","",SUMPRODUCT(D52*(1+IF(D53="",0,D53))^ROUNDDOWN((ROW(INDIRECT("1:"&amp;IF(D55="",10,D55)))-1)/IF(D54="",5,D54),0))+IF(OR(D13="",IF(D62="",IF($D$35="",0,$D$35),D62)=0),0,SUMPRODUCT(((D13*1.02^(ROW(INDIRECT("1:"&amp;IF(D55="",10,D55)))-1))-(IF(D63&lt;&gt;"",D63,IF($D$37&lt;&gt;"",$D$37,(D52*(1+IF(D53="",0,D53))^ROUNDDOWN((ROW(INDIRECT("1:"&amp;IF(D55="",10,D55)))-1)/IF(D54="",5,D54),0))/IF(D62="",IF($D$35="",0,$D$35),D62))))&gt;0)*((D13*1.02^(ROW(INDIRECT("1:"&amp;IF(D55="",10,D55)))-1))-(IF(D63&lt;&gt;"",D63,IF($D$37&lt;&gt;"",$D$37,(D52*(1+IF(D53="",0,D53))^ROUNDDOWN((ROW(INDIRECT("1:"&amp;IF(D55="",10,D55)))-1)/IF(D54="",5,D54),0))/IF(D62="",IF($D$35="",0,$D$35),D62))))))*IF(D62="",IF($D$35="",0,$D$35),D62)))</f>
        <v>4065265.61864</v>
      </c>
      <c r="E71" s="65" t="str">
        <f aca="true">IF(E52="","",SUMPRODUCT(E52*(1+IF(E53="",0,E53))^ROUNDDOWN((ROW(INDIRECT("1:"&amp;IF(E55="",10,E55)))-1)/IF(E54="",5,E54),0))+IF(OR(D13="",IF(E62="",IF($D$35="",0,$D$35),E62)=0),0,SUMPRODUCT(((D13*1.02^(ROW(INDIRECT("1:"&amp;IF(E55="",10,E55)))-1))-(IF(E63&lt;&gt;"",E63,IF($D$37&lt;&gt;"",$D$37,(E52*(1+IF(E53="",0,E53))^ROUNDDOWN((ROW(INDIRECT("1:"&amp;IF(E55="",10,E55)))-1)/IF(E54="",5,E54),0))/IF(E62="",IF($D$35="",0,$D$35),E62))))&gt;0)*((D13*1.02^(ROW(INDIRECT("1:"&amp;IF(E55="",10,E55)))-1))-(IF(E63&lt;&gt;"",E63,IF($D$37&lt;&gt;"",$D$37,(E52*(1+IF(E53="",0,E53))^ROUNDDOWN((ROW(INDIRECT("1:"&amp;IF(E55="",10,E55)))-1)/IF(E54="",5,E54),0))/IF(E62="",IF($D$35="",0,$D$35),E62))))))*IF(E62="",IF($D$35="",0,$D$35),E62)))</f>
        <v/>
      </c>
      <c r="F71" s="65" t="str">
        <f aca="true">IF(F52="","",SUMPRODUCT(F52*(1+IF(F53="",0,F53))^ROUNDDOWN((ROW(INDIRECT("1:"&amp;IF(F55="",10,F55)))-1)/IF(F54="",5,F54),0))+IF(OR(D13="",IF(F62="",IF($D$35="",0,$D$35),F62)=0),0,SUMPRODUCT(((D13*1.02^(ROW(INDIRECT("1:"&amp;IF(F55="",10,F55)))-1))-(IF(F63&lt;&gt;"",F63,IF($D$37&lt;&gt;"",$D$37,(F52*(1+IF(F53="",0,F53))^ROUNDDOWN((ROW(INDIRECT("1:"&amp;IF(F55="",10,F55)))-1)/IF(F54="",5,F54),0))/IF(F62="",IF($D$35="",0,$D$35),F62))))&gt;0)*((D13*1.02^(ROW(INDIRECT("1:"&amp;IF(F55="",10,F55)))-1))-(IF(F63&lt;&gt;"",F63,IF($D$37&lt;&gt;"",$D$37,(F52*(1+IF(F53="",0,F53))^ROUNDDOWN((ROW(INDIRECT("1:"&amp;IF(F55="",10,F55)))-1)/IF(F54="",5,F54),0))/IF(F62="",IF($D$35="",0,$D$35),F62))))))*IF(F62="",IF($D$35="",0,$D$35),F62)))</f>
        <v/>
      </c>
      <c r="G71" s="65" t="str">
        <f aca="true">IF(G52="","",SUMPRODUCT(G52*(1+IF(G53="",0,G53))^ROUNDDOWN((ROW(INDIRECT("1:"&amp;IF(G55="",10,G55)))-1)/IF(G54="",5,G54),0))+IF(OR(D13="",IF(G62="",IF($D$35="",0,$D$35),G62)=0),0,SUMPRODUCT(((D13*1.02^(ROW(INDIRECT("1:"&amp;IF(G55="",10,G55)))-1))-(IF(G63&lt;&gt;"",G63,IF($D$37&lt;&gt;"",$D$37,(G52*(1+IF(G53="",0,G53))^ROUNDDOWN((ROW(INDIRECT("1:"&amp;IF(G55="",10,G55)))-1)/IF(G54="",5,G54),0))/IF(G62="",IF($D$35="",0,$D$35),G62))))&gt;0)*((D13*1.02^(ROW(INDIRECT("1:"&amp;IF(G55="",10,G55)))-1))-(IF(G63&lt;&gt;"",G63,IF($D$37&lt;&gt;"",$D$37,(G52*(1+IF(G53="",0,G53))^ROUNDDOWN((ROW(INDIRECT("1:"&amp;IF(G55="",10,G55)))-1)/IF(G54="",5,G54),0))/IF(G62="",IF($D$35="",0,$D$35),G62))))))*IF(G62="",IF($D$35="",0,$D$35),G62)))</f>
        <v/>
      </c>
      <c r="H71" s="65" t="str">
        <f aca="true">IF(H52="","",SUMPRODUCT(H52*(1+IF(H53="",0,H53))^ROUNDDOWN((ROW(INDIRECT("1:"&amp;IF(H55="",10,H55)))-1)/IF(H54="",5,H54),0))+IF(OR(D13="",IF(H62="",IF($D$35="",0,$D$35),H62)=0),0,SUMPRODUCT(((D13*1.02^(ROW(INDIRECT("1:"&amp;IF(H55="",10,H55)))-1))-(IF(H63&lt;&gt;"",H63,IF($D$37&lt;&gt;"",$D$37,(H52*(1+IF(H53="",0,H53))^ROUNDDOWN((ROW(INDIRECT("1:"&amp;IF(H55="",10,H55)))-1)/IF(H54="",5,H54),0))/IF(H62="",IF($D$35="",0,$D$35),H62))))&gt;0)*((D13*1.02^(ROW(INDIRECT("1:"&amp;IF(H55="",10,H55)))-1))-(IF(H63&lt;&gt;"",H63,IF($D$37&lt;&gt;"",$D$37,(H52*(1+IF(H53="",0,H53))^ROUNDDOWN((ROW(INDIRECT("1:"&amp;IF(H55="",10,H55)))-1)/IF(H54="",5,H54),0))/IF(H62="",IF($D$35="",0,$D$35),H62))))))*IF(H62="",IF($D$35="",0,$D$35),H62)))</f>
        <v/>
      </c>
    </row>
    <row r="72" customFormat="false" ht="15" hidden="false" customHeight="true" outlineLevel="0" collapsed="false">
      <c r="A72" s="22" t="s">
        <v>374</v>
      </c>
      <c r="B72" s="22"/>
      <c r="C72" s="22"/>
      <c r="D72" s="62" t="n">
        <f aca="false">IF(D52="","",IF(D53="",0,(1+D53)^(5/IF(D54="",5,D54))-1))</f>
        <v>0.02</v>
      </c>
      <c r="E72" s="62" t="str">
        <f aca="false">IF(E52="","",IF(E53="",0,(1+E53)^(5/IF(E54="",5,E54))-1))</f>
        <v/>
      </c>
      <c r="F72" s="62" t="str">
        <f aca="false">IF(F52="","",IF(F53="",0,(1+F53)^(5/IF(F54="",5,F54))-1))</f>
        <v/>
      </c>
      <c r="G72" s="62" t="str">
        <f aca="false">IF(G52="","",IF(G53="",0,(1+G53)^(5/IF(G54="",5,G54))-1))</f>
        <v/>
      </c>
      <c r="H72" s="62" t="str">
        <f aca="false">IF(H52="","",IF(H53="",0,(1+H53)^(5/IF(H54="",5,H54))-1))</f>
        <v/>
      </c>
    </row>
    <row r="73" customFormat="false" ht="43.25" hidden="false" customHeight="true" outlineLevel="0" collapsed="false">
      <c r="A73" s="22" t="s">
        <v>375</v>
      </c>
      <c r="B73" s="22"/>
      <c r="C73" s="22"/>
      <c r="D73" s="66" t="str">
        <f aca="false">IF(D72="","",IF(D72&lt;=0,"REDUCTION / FLAT — ladder steps 1-2 (best)",IF(D72&lt;=0.08,"OK — within 8%/5-yr in-house authority (ladder step 3)","ABOVE 8%/5-yr — CEO SIGN-OFF REQUIRED (Rob 8/5/26)")))</f>
        <v>OK — within 8%/5-yr in-house authority (ladder step 3)</v>
      </c>
      <c r="E73" s="66" t="str">
        <f aca="false">IF(E72="","",IF(E72&lt;=0,"REDUCTION / FLAT — ladder steps 1-2 (best)",IF(E72&lt;=0.08,"OK — within 8%/5-yr in-house authority (ladder step 3)","ABOVE 8%/5-yr — CEO SIGN-OFF REQUIRED (Rob 8/5/26)")))</f>
        <v/>
      </c>
      <c r="F73" s="66" t="str">
        <f aca="false">IF(F72="","",IF(F72&lt;=0,"REDUCTION / FLAT — ladder steps 1-2 (best)",IF(F72&lt;=0.08,"OK — within 8%/5-yr in-house authority (ladder step 3)","ABOVE 8%/5-yr — CEO SIGN-OFF REQUIRED (Rob 8/5/26)")))</f>
        <v/>
      </c>
      <c r="G73" s="66" t="str">
        <f aca="false">IF(G72="","",IF(G72&lt;=0,"REDUCTION / FLAT — ladder steps 1-2 (best)",IF(G72&lt;=0.08,"OK — within 8%/5-yr in-house authority (ladder step 3)","ABOVE 8%/5-yr — CEO SIGN-OFF REQUIRED (Rob 8/5/26)")))</f>
        <v/>
      </c>
      <c r="H73" s="66" t="str">
        <f aca="false">IF(H72="","",IF(H72&lt;=0,"REDUCTION / FLAT — ladder steps 1-2 (best)",IF(H72&lt;=0.08,"OK — within 8%/5-yr in-house authority (ladder step 3)","ABOVE 8%/5-yr — CEO SIGN-OFF REQUIRED (Rob 8/5/26)")))</f>
        <v/>
      </c>
    </row>
    <row r="74" customFormat="false" ht="23.85" hidden="false" customHeight="true" outlineLevel="0" collapsed="false">
      <c r="A74" s="22" t="s">
        <v>376</v>
      </c>
      <c r="B74" s="22"/>
      <c r="C74" s="22"/>
      <c r="D74" s="62" t="n">
        <f aca="false">IF(OR(D52="",D13=""),"",((D52*(1+IF(D53="",0,D53))^ROUNDDOWN(9/IF(D54="",5,D54),0))+IF(IF(D62="",IF($D$35="",0,$D$35),D62)=0,0,MAX(0,D13*1.02^9-IF(D63&lt;&gt;"",D63,IF($D$37&lt;&gt;"",$D$37,(D52*(1+IF(D53="",0,D53))^ROUNDDOWN(9/IF(D54="",5,D54),0))/IF(D62="",IF($D$35="",0,$D$35),D62))))*IF(D62="",IF($D$35="",0,$D$35),D62)))/(D13*1.02^9))</f>
        <v>0.0681565022462279</v>
      </c>
      <c r="E74" s="62" t="str">
        <f aca="false">IF(OR(E52="",D13=""),"",((E52*(1+IF(E53="",0,E53))^ROUNDDOWN(9/IF(E54="",5,E54),0))+IF(IF(E62="",IF($D$35="",0,$D$35),E62)=0,0,MAX(0,D13*1.02^9-IF(E63&lt;&gt;"",E63,IF($D$37&lt;&gt;"",$D$37,(E52*(1+IF(E53="",0,E53))^ROUNDDOWN(9/IF(E54="",5,E54),0))/IF(E62="",IF($D$35="",0,$D$35),E62))))*IF(E62="",IF($D$35="",0,$D$35),E62)))/(D13*1.02^9))</f>
        <v/>
      </c>
      <c r="F74" s="62" t="str">
        <f aca="false">IF(OR(F52="",D13=""),"",((F52*(1+IF(F53="",0,F53))^ROUNDDOWN(9/IF(F54="",5,F54),0))+IF(IF(F62="",IF($D$35="",0,$D$35),F62)=0,0,MAX(0,D13*1.02^9-IF(F63&lt;&gt;"",F63,IF($D$37&lt;&gt;"",$D$37,(F52*(1+IF(F53="",0,F53))^ROUNDDOWN(9/IF(F54="",5,F54),0))/IF(F62="",IF($D$35="",0,$D$35),F62))))*IF(F62="",IF($D$35="",0,$D$35),F62)))/(D13*1.02^9))</f>
        <v/>
      </c>
      <c r="G74" s="62" t="str">
        <f aca="false">IF(OR(G52="",D13=""),"",((G52*(1+IF(G53="",0,G53))^ROUNDDOWN(9/IF(G54="",5,G54),0))+IF(IF(G62="",IF($D$35="",0,$D$35),G62)=0,0,MAX(0,D13*1.02^9-IF(G63&lt;&gt;"",G63,IF($D$37&lt;&gt;"",$D$37,(G52*(1+IF(G53="",0,G53))^ROUNDDOWN(9/IF(G54="",5,G54),0))/IF(G62="",IF($D$35="",0,$D$35),G62))))*IF(G62="",IF($D$35="",0,$D$35),G62)))/(D13*1.02^9))</f>
        <v/>
      </c>
      <c r="H74" s="62" t="str">
        <f aca="false">IF(OR(H52="",D13=""),"",((H52*(1+IF(H53="",0,H53))^ROUNDDOWN(9/IF(H54="",5,H54),0))+IF(IF(H62="",IF($D$35="",0,$D$35),H62)=0,0,MAX(0,D13*1.02^9-IF(H63&lt;&gt;"",H63,IF($D$37&lt;&gt;"",$D$37,(H52*(1+IF(H53="",0,H53))^ROUNDDOWN(9/IF(H54="",5,H54),0))/IF(H62="",IF($D$35="",0,$D$35),H62))))*IF(H62="",IF($D$35="",0,$D$35),H62)))/(D13*1.02^9))</f>
        <v/>
      </c>
    </row>
    <row r="75" customFormat="false" ht="43.25" hidden="false" customHeight="true" outlineLevel="0" collapsed="false">
      <c r="A75" s="22" t="s">
        <v>377</v>
      </c>
      <c r="B75" s="22"/>
      <c r="C75" s="22"/>
      <c r="D75" s="66" t="str">
        <f aca="false">IF(OR(D74="",D67=""),"",IF(MAX(D67,D74)&gt;=0.08,"HARD STOP — occupancy at/above 8% of sales: STOP, CEO sign-off before responding",IF(MAX(D67,D74)&gt;0.07,"Above Kim 7% alert — approaching 8% hard stop","OK — under 7% alert")))</f>
        <v>Above Kim 7% alert — approaching 8% hard stop</v>
      </c>
      <c r="E75" s="66" t="str">
        <f aca="false">IF(OR(E74="",E67=""),"",IF(MAX(E67,E74)&gt;=0.08,"HARD STOP — occupancy at/above 8% of sales: STOP, CEO sign-off before responding",IF(MAX(E67,E74)&gt;0.07,"Above Kim 7% alert — approaching 8% hard stop","OK — under 7% alert")))</f>
        <v/>
      </c>
      <c r="F75" s="66" t="str">
        <f aca="false">IF(OR(F74="",F67=""),"",IF(MAX(F67,F74)&gt;=0.08,"HARD STOP — occupancy at/above 8% of sales: STOP, CEO sign-off before responding",IF(MAX(F67,F74)&gt;0.07,"Above Kim 7% alert — approaching 8% hard stop","OK — under 7% alert")))</f>
        <v/>
      </c>
      <c r="G75" s="66" t="str">
        <f aca="false">IF(OR(G74="",G67=""),"",IF(MAX(G67,G74)&gt;=0.08,"HARD STOP — occupancy at/above 8% of sales: STOP, CEO sign-off before responding",IF(MAX(G67,G74)&gt;0.07,"Above Kim 7% alert — approaching 8% hard stop","OK — under 7% alert")))</f>
        <v/>
      </c>
      <c r="H75" s="66" t="str">
        <f aca="false">IF(OR(H74="",H67=""),"",IF(MAX(H67,H74)&gt;=0.08,"HARD STOP — occupancy at/above 8% of sales: STOP, CEO sign-off before responding",IF(MAX(H67,H74)&gt;0.07,"Above Kim 7% alert — approaching 8% hard stop","OK — under 7% alert")))</f>
        <v/>
      </c>
    </row>
    <row r="77" customFormat="false" ht="22.35" hidden="false" customHeight="true" outlineLevel="0" collapsed="false">
      <c r="A77" s="68" t="s">
        <v>379</v>
      </c>
      <c r="B77" s="68"/>
      <c r="C77" s="68"/>
      <c r="D77" s="68"/>
      <c r="E77" s="68"/>
      <c r="F77" s="68"/>
      <c r="G77" s="68"/>
      <c r="H77" s="68"/>
      <c r="I77" s="68"/>
      <c r="J77" s="68"/>
    </row>
    <row r="79" customFormat="false" ht="15" hidden="false" customHeight="false" outlineLevel="0" collapsed="false">
      <c r="A79" s="69" t="s">
        <v>380</v>
      </c>
      <c r="B79" s="69"/>
      <c r="C79" s="69"/>
      <c r="D79" s="69"/>
      <c r="E79" s="69"/>
      <c r="F79" s="69"/>
      <c r="G79" s="69"/>
      <c r="H79" s="69"/>
      <c r="I79" s="69"/>
      <c r="J79" s="69"/>
    </row>
    <row r="82" customFormat="false" ht="15" hidden="false" customHeight="false" outlineLevel="0" collapsed="false">
      <c r="A82" s="25" t="s">
        <v>381</v>
      </c>
    </row>
    <row r="83" customFormat="false" ht="15" hidden="false" customHeight="false" outlineLevel="0" collapsed="false">
      <c r="A83" s="69" t="s">
        <v>382</v>
      </c>
      <c r="B83" s="69"/>
      <c r="C83" s="69"/>
      <c r="D83" s="69"/>
      <c r="E83" s="69"/>
      <c r="F83" s="69"/>
      <c r="G83" s="69"/>
      <c r="H83" s="69"/>
      <c r="I83" s="69"/>
      <c r="J83" s="69"/>
      <c r="K83" s="69"/>
      <c r="L83" s="69"/>
      <c r="M83" s="69"/>
      <c r="N83" s="69"/>
      <c r="O83" s="69"/>
      <c r="P83" s="69"/>
      <c r="Q83" s="69"/>
      <c r="R83" s="69"/>
      <c r="S83" s="69"/>
      <c r="T83" s="69"/>
    </row>
    <row r="84" customFormat="false" ht="15" hidden="false" customHeight="true" outlineLevel="0" collapsed="false">
      <c r="A84" s="70" t="s">
        <v>383</v>
      </c>
      <c r="B84" s="70" t="s">
        <v>384</v>
      </c>
      <c r="C84" s="71" t="s">
        <v>385</v>
      </c>
      <c r="D84" s="71"/>
      <c r="E84" s="71"/>
      <c r="F84" s="71" t="s">
        <v>386</v>
      </c>
      <c r="G84" s="71"/>
      <c r="H84" s="71"/>
      <c r="I84" s="71" t="s">
        <v>387</v>
      </c>
      <c r="J84" s="71"/>
      <c r="K84" s="71"/>
      <c r="L84" s="71" t="s">
        <v>388</v>
      </c>
      <c r="M84" s="71"/>
      <c r="N84" s="71"/>
      <c r="O84" s="71" t="s">
        <v>389</v>
      </c>
      <c r="P84" s="71"/>
      <c r="Q84" s="71"/>
      <c r="R84" s="72" t="s">
        <v>390</v>
      </c>
      <c r="S84" s="72"/>
      <c r="T84" s="72"/>
    </row>
    <row r="85" customFormat="false" ht="15" hidden="false" customHeight="false" outlineLevel="0" collapsed="false">
      <c r="A85" s="73"/>
      <c r="B85" s="73"/>
      <c r="C85" s="73" t="s">
        <v>391</v>
      </c>
      <c r="D85" s="73" t="s">
        <v>392</v>
      </c>
      <c r="E85" s="73" t="s">
        <v>393</v>
      </c>
      <c r="F85" s="73" t="s">
        <v>391</v>
      </c>
      <c r="G85" s="73" t="s">
        <v>392</v>
      </c>
      <c r="H85" s="73" t="s">
        <v>393</v>
      </c>
      <c r="I85" s="73" t="s">
        <v>391</v>
      </c>
      <c r="J85" s="73" t="s">
        <v>392</v>
      </c>
      <c r="K85" s="73" t="s">
        <v>393</v>
      </c>
      <c r="L85" s="73" t="s">
        <v>391</v>
      </c>
      <c r="M85" s="73" t="s">
        <v>392</v>
      </c>
      <c r="N85" s="73" t="s">
        <v>393</v>
      </c>
      <c r="O85" s="73" t="s">
        <v>391</v>
      </c>
      <c r="P85" s="73" t="s">
        <v>392</v>
      </c>
      <c r="Q85" s="73" t="s">
        <v>393</v>
      </c>
      <c r="R85" s="73" t="s">
        <v>391</v>
      </c>
      <c r="S85" s="73" t="s">
        <v>392</v>
      </c>
      <c r="T85" s="73" t="s">
        <v>393</v>
      </c>
    </row>
    <row r="86" customFormat="false" ht="15" hidden="false" customHeight="false" outlineLevel="0" collapsed="false">
      <c r="A86" s="74" t="n">
        <v>1</v>
      </c>
      <c r="B86" s="75" t="n">
        <v>2470265</v>
      </c>
      <c r="C86" s="76" t="n">
        <v>197266</v>
      </c>
      <c r="D86" s="76" t="n">
        <v>0</v>
      </c>
      <c r="E86" s="76" t="n">
        <v>197266</v>
      </c>
      <c r="F86" s="75" t="n">
        <f aca="false">IF(D52="","",IF(1&gt;IF(D55="",10,D55),"",D52*(1+IF(D53="",0,D53))^ROUNDDOWN((1-1)/IF(D54="",5,D54),0)))</f>
        <v>197266</v>
      </c>
      <c r="G86" s="75" t="n">
        <f aca="false">IF(F86="","",IF((IF(D62="",IF($D$35="",0,$D$35),D62))=0,0,MAX(0,2470265.14-(IF(D63&lt;&gt;"",D63,IF($D$37&lt;&gt;"",$D$37,IF((IF(D62="",IF($D$35="",0,$D$35),D62))=0,0,D52/(IF(D62="",IF($D$35="",0,$D$35),D62)))))))*(IF(D62="",IF($D$35="",0,$D$35),D62))))</f>
        <v>0</v>
      </c>
      <c r="H86" s="75" t="n">
        <f aca="false">IF(F86="","",F86+G86)</f>
        <v>197266</v>
      </c>
      <c r="I86" s="75" t="str">
        <f aca="false">IF(E52="","",IF(1&gt;IF(E55="",10,E55),"",E52*(1+IF(E53="",0,E53))^ROUNDDOWN((1-1)/IF(E54="",5,E54),0)))</f>
        <v/>
      </c>
      <c r="J86" s="75" t="str">
        <f aca="false">IF(I86="","",IF((IF(E62="",IF($D$35="",0,$D$35),E62))=0,0,MAX(0,2470265.14-(IF(E63&lt;&gt;"",E63,IF($D$37&lt;&gt;"",$D$37,IF((IF(E62="",IF($D$35="",0,$D$35),E62))=0,0,E52/(IF(E62="",IF($D$35="",0,$D$35),E62)))))))*(IF(E62="",IF($D$35="",0,$D$35),E62))))</f>
        <v/>
      </c>
      <c r="K86" s="75" t="str">
        <f aca="false">IF(I86="","",I86+J86)</f>
        <v/>
      </c>
      <c r="L86" s="75" t="str">
        <f aca="false">IF(F52="","",IF(1&gt;IF(F55="",10,F55),"",F52*(1+IF(F53="",0,F53))^ROUNDDOWN((1-1)/IF(F54="",5,F54),0)))</f>
        <v/>
      </c>
      <c r="M86" s="75" t="str">
        <f aca="false">IF(L86="","",IF((IF(F62="",IF($D$35="",0,$D$35),F62))=0,0,MAX(0,2470265.14-(IF(F63&lt;&gt;"",F63,IF($D$37&lt;&gt;"",$D$37,IF((IF(F62="",IF($D$35="",0,$D$35),F62))=0,0,F52/(IF(F62="",IF($D$35="",0,$D$35),F62)))))))*(IF(F62="",IF($D$35="",0,$D$35),F62))))</f>
        <v/>
      </c>
      <c r="N86" s="75" t="str">
        <f aca="false">IF(L86="","",L86+M86)</f>
        <v/>
      </c>
      <c r="O86" s="75" t="str">
        <f aca="false">IF(G52="","",IF(1&gt;IF(G55="",10,G55),"",G52*(1+IF(G53="",0,G53))^ROUNDDOWN((1-1)/IF(G54="",5,G54),0)))</f>
        <v/>
      </c>
      <c r="P86" s="75" t="str">
        <f aca="false">IF(O86="","",IF((IF(G62="",IF($D$35="",0,$D$35),G62))=0,0,MAX(0,2470265.14-(IF(G63&lt;&gt;"",G63,IF($D$37&lt;&gt;"",$D$37,IF((IF(G62="",IF($D$35="",0,$D$35),G62))=0,0,G52/(IF(G62="",IF($D$35="",0,$D$35),G62)))))))*(IF(G62="",IF($D$35="",0,$D$35),G62))))</f>
        <v/>
      </c>
      <c r="Q86" s="75" t="str">
        <f aca="false">IF(O86="","",O86+P86)</f>
        <v/>
      </c>
      <c r="R86" s="75" t="str">
        <f aca="false">IF(H52="","",IF(1&gt;IF(H55="",10,H55),"",H52*(1+IF(H53="",0,H53))^ROUNDDOWN((1-1)/IF(H54="",5,H54),0)))</f>
        <v/>
      </c>
      <c r="S86" s="75" t="str">
        <f aca="false">IF(R86="","",IF((IF(H62="",IF($D$35="",0,$D$35),H62))=0,0,MAX(0,2470265.14-(IF(H63&lt;&gt;"",H63,IF($D$37&lt;&gt;"",$D$37,IF((IF(H62="",IF($D$35="",0,$D$35),H62))=0,0,H52/(IF(H62="",IF($D$35="",0,$D$35),H62)))))))*(IF(H62="",IF($D$35="",0,$D$35),H62))))</f>
        <v/>
      </c>
      <c r="T86" s="75" t="str">
        <f aca="false">IF(R86="","",R86+S86)</f>
        <v/>
      </c>
    </row>
    <row r="87" customFormat="false" ht="15" hidden="false" customHeight="false" outlineLevel="0" collapsed="false">
      <c r="A87" s="74" t="n">
        <v>2</v>
      </c>
      <c r="B87" s="75" t="n">
        <v>2519670</v>
      </c>
      <c r="C87" s="76" t="n">
        <v>197266</v>
      </c>
      <c r="D87" s="76" t="n">
        <v>0</v>
      </c>
      <c r="E87" s="76" t="n">
        <v>197266</v>
      </c>
      <c r="F87" s="75" t="n">
        <f aca="false">IF(D52="","",IF(2&gt;IF(D55="",10,D55),"",D52*(1+IF(D53="",0,D53))^ROUNDDOWN((2-1)/IF(D54="",5,D54),0)))</f>
        <v>197266</v>
      </c>
      <c r="G87" s="75" t="n">
        <f aca="false">IF(F87="","",IF((IF(D62="",IF($D$35="",0,$D$35),D62))=0,0,MAX(0,2519670.44-(IF(D63&lt;&gt;"",D63,IF($D$37&lt;&gt;"",$D$37,IF((IF(D62="",IF($D$35="",0,$D$35),D62))=0,0,D52/(IF(D62="",IF($D$35="",0,$D$35),D62)))))))*(IF(D62="",IF($D$35="",0,$D$35),D62))))</f>
        <v>0</v>
      </c>
      <c r="H87" s="75" t="n">
        <f aca="false">IF(F87="","",F87+G87)</f>
        <v>197266</v>
      </c>
      <c r="I87" s="75" t="str">
        <f aca="false">IF(E52="","",IF(2&gt;IF(E55="",10,E55),"",E52*(1+IF(E53="",0,E53))^ROUNDDOWN((2-1)/IF(E54="",5,E54),0)))</f>
        <v/>
      </c>
      <c r="J87" s="75" t="str">
        <f aca="false">IF(I87="","",IF((IF(E62="",IF($D$35="",0,$D$35),E62))=0,0,MAX(0,2519670.44-(IF(E63&lt;&gt;"",E63,IF($D$37&lt;&gt;"",$D$37,IF((IF(E62="",IF($D$35="",0,$D$35),E62))=0,0,E52/(IF(E62="",IF($D$35="",0,$D$35),E62)))))))*(IF(E62="",IF($D$35="",0,$D$35),E62))))</f>
        <v/>
      </c>
      <c r="K87" s="75" t="str">
        <f aca="false">IF(I87="","",I87+J87)</f>
        <v/>
      </c>
      <c r="L87" s="75" t="str">
        <f aca="false">IF(F52="","",IF(2&gt;IF(F55="",10,F55),"",F52*(1+IF(F53="",0,F53))^ROUNDDOWN((2-1)/IF(F54="",5,F54),0)))</f>
        <v/>
      </c>
      <c r="M87" s="75" t="str">
        <f aca="false">IF(L87="","",IF((IF(F62="",IF($D$35="",0,$D$35),F62))=0,0,MAX(0,2519670.44-(IF(F63&lt;&gt;"",F63,IF($D$37&lt;&gt;"",$D$37,IF((IF(F62="",IF($D$35="",0,$D$35),F62))=0,0,F52/(IF(F62="",IF($D$35="",0,$D$35),F62)))))))*(IF(F62="",IF($D$35="",0,$D$35),F62))))</f>
        <v/>
      </c>
      <c r="N87" s="75" t="str">
        <f aca="false">IF(L87="","",L87+M87)</f>
        <v/>
      </c>
      <c r="O87" s="75" t="str">
        <f aca="false">IF(G52="","",IF(2&gt;IF(G55="",10,G55),"",G52*(1+IF(G53="",0,G53))^ROUNDDOWN((2-1)/IF(G54="",5,G54),0)))</f>
        <v/>
      </c>
      <c r="P87" s="75" t="str">
        <f aca="false">IF(O87="","",IF((IF(G62="",IF($D$35="",0,$D$35),G62))=0,0,MAX(0,2519670.44-(IF(G63&lt;&gt;"",G63,IF($D$37&lt;&gt;"",$D$37,IF((IF(G62="",IF($D$35="",0,$D$35),G62))=0,0,G52/(IF(G62="",IF($D$35="",0,$D$35),G62)))))))*(IF(G62="",IF($D$35="",0,$D$35),G62))))</f>
        <v/>
      </c>
      <c r="Q87" s="75" t="str">
        <f aca="false">IF(O87="","",O87+P87)</f>
        <v/>
      </c>
      <c r="R87" s="75" t="str">
        <f aca="false">IF(H52="","",IF(2&gt;IF(H55="",10,H55),"",H52*(1+IF(H53="",0,H53))^ROUNDDOWN((2-1)/IF(H54="",5,H54),0)))</f>
        <v/>
      </c>
      <c r="S87" s="75" t="str">
        <f aca="false">IF(R87="","",IF((IF(H62="",IF($D$35="",0,$D$35),H62))=0,0,MAX(0,2519670.44-(IF(H63&lt;&gt;"",H63,IF($D$37&lt;&gt;"",$D$37,IF((IF(H62="",IF($D$35="",0,$D$35),H62))=0,0,H52/(IF(H62="",IF($D$35="",0,$D$35),H62)))))))*(IF(H62="",IF($D$35="",0,$D$35),H62))))</f>
        <v/>
      </c>
      <c r="T87" s="75" t="str">
        <f aca="false">IF(R87="","",R87+S87)</f>
        <v/>
      </c>
    </row>
    <row r="88" customFormat="false" ht="15" hidden="false" customHeight="false" outlineLevel="0" collapsed="false">
      <c r="A88" s="74" t="n">
        <v>3</v>
      </c>
      <c r="B88" s="75" t="n">
        <v>2570064</v>
      </c>
      <c r="C88" s="76" t="n">
        <v>197266</v>
      </c>
      <c r="D88" s="76" t="n">
        <v>0</v>
      </c>
      <c r="E88" s="76" t="n">
        <v>197266</v>
      </c>
      <c r="F88" s="75" t="n">
        <f aca="false">IF(D52="","",IF(3&gt;IF(D55="",10,D55),"",D52*(1+IF(D53="",0,D53))^ROUNDDOWN((3-1)/IF(D54="",5,D54),0)))</f>
        <v>197266</v>
      </c>
      <c r="G88" s="75" t="n">
        <f aca="false">IF(F88="","",IF((IF(D62="",IF($D$35="",0,$D$35),D62))=0,0,MAX(0,2570063.85-(IF(D63&lt;&gt;"",D63,IF($D$37&lt;&gt;"",$D$37,IF((IF(D62="",IF($D$35="",0,$D$35),D62))=0,0,D52/(IF(D62="",IF($D$35="",0,$D$35),D62)))))))*(IF(D62="",IF($D$35="",0,$D$35),D62))))</f>
        <v>0</v>
      </c>
      <c r="H88" s="75" t="n">
        <f aca="false">IF(F88="","",F88+G88)</f>
        <v>197266</v>
      </c>
      <c r="I88" s="75" t="str">
        <f aca="false">IF(E52="","",IF(3&gt;IF(E55="",10,E55),"",E52*(1+IF(E53="",0,E53))^ROUNDDOWN((3-1)/IF(E54="",5,E54),0)))</f>
        <v/>
      </c>
      <c r="J88" s="75" t="str">
        <f aca="false">IF(I88="","",IF((IF(E62="",IF($D$35="",0,$D$35),E62))=0,0,MAX(0,2570063.85-(IF(E63&lt;&gt;"",E63,IF($D$37&lt;&gt;"",$D$37,IF((IF(E62="",IF($D$35="",0,$D$35),E62))=0,0,E52/(IF(E62="",IF($D$35="",0,$D$35),E62)))))))*(IF(E62="",IF($D$35="",0,$D$35),E62))))</f>
        <v/>
      </c>
      <c r="K88" s="75" t="str">
        <f aca="false">IF(I88="","",I88+J88)</f>
        <v/>
      </c>
      <c r="L88" s="75" t="str">
        <f aca="false">IF(F52="","",IF(3&gt;IF(F55="",10,F55),"",F52*(1+IF(F53="",0,F53))^ROUNDDOWN((3-1)/IF(F54="",5,F54),0)))</f>
        <v/>
      </c>
      <c r="M88" s="75" t="str">
        <f aca="false">IF(L88="","",IF((IF(F62="",IF($D$35="",0,$D$35),F62))=0,0,MAX(0,2570063.85-(IF(F63&lt;&gt;"",F63,IF($D$37&lt;&gt;"",$D$37,IF((IF(F62="",IF($D$35="",0,$D$35),F62))=0,0,F52/(IF(F62="",IF($D$35="",0,$D$35),F62)))))))*(IF(F62="",IF($D$35="",0,$D$35),F62))))</f>
        <v/>
      </c>
      <c r="N88" s="75" t="str">
        <f aca="false">IF(L88="","",L88+M88)</f>
        <v/>
      </c>
      <c r="O88" s="75" t="str">
        <f aca="false">IF(G52="","",IF(3&gt;IF(G55="",10,G55),"",G52*(1+IF(G53="",0,G53))^ROUNDDOWN((3-1)/IF(G54="",5,G54),0)))</f>
        <v/>
      </c>
      <c r="P88" s="75" t="str">
        <f aca="false">IF(O88="","",IF((IF(G62="",IF($D$35="",0,$D$35),G62))=0,0,MAX(0,2570063.85-(IF(G63&lt;&gt;"",G63,IF($D$37&lt;&gt;"",$D$37,IF((IF(G62="",IF($D$35="",0,$D$35),G62))=0,0,G52/(IF(G62="",IF($D$35="",0,$D$35),G62)))))))*(IF(G62="",IF($D$35="",0,$D$35),G62))))</f>
        <v/>
      </c>
      <c r="Q88" s="75" t="str">
        <f aca="false">IF(O88="","",O88+P88)</f>
        <v/>
      </c>
      <c r="R88" s="75" t="str">
        <f aca="false">IF(H52="","",IF(3&gt;IF(H55="",10,H55),"",H52*(1+IF(H53="",0,H53))^ROUNDDOWN((3-1)/IF(H54="",5,H54),0)))</f>
        <v/>
      </c>
      <c r="S88" s="75" t="str">
        <f aca="false">IF(R88="","",IF((IF(H62="",IF($D$35="",0,$D$35),H62))=0,0,MAX(0,2570063.85-(IF(H63&lt;&gt;"",H63,IF($D$37&lt;&gt;"",$D$37,IF((IF(H62="",IF($D$35="",0,$D$35),H62))=0,0,H52/(IF(H62="",IF($D$35="",0,$D$35),H62)))))))*(IF(H62="",IF($D$35="",0,$D$35),H62))))</f>
        <v/>
      </c>
      <c r="T88" s="75" t="str">
        <f aca="false">IF(R88="","",R88+S88)</f>
        <v/>
      </c>
    </row>
    <row r="89" customFormat="false" ht="15" hidden="false" customHeight="false" outlineLevel="0" collapsed="false">
      <c r="A89" s="74" t="n">
        <v>4</v>
      </c>
      <c r="B89" s="75" t="n">
        <v>2621465</v>
      </c>
      <c r="C89" s="76" t="n">
        <v>197266</v>
      </c>
      <c r="D89" s="76" t="n">
        <v>0</v>
      </c>
      <c r="E89" s="76" t="n">
        <v>197266</v>
      </c>
      <c r="F89" s="75" t="n">
        <f aca="false">IF(D52="","",IF(4&gt;IF(D55="",10,D55),"",D52*(1+IF(D53="",0,D53))^ROUNDDOWN((4-1)/IF(D54="",5,D54),0)))</f>
        <v>197266</v>
      </c>
      <c r="G89" s="75" t="n">
        <f aca="false">IF(F89="","",IF((IF(D62="",IF($D$35="",0,$D$35),D62))=0,0,MAX(0,2621465.13-(IF(D63&lt;&gt;"",D63,IF($D$37&lt;&gt;"",$D$37,IF((IF(D62="",IF($D$35="",0,$D$35),D62))=0,0,D52/(IF(D62="",IF($D$35="",0,$D$35),D62)))))))*(IF(D62="",IF($D$35="",0,$D$35),D62))))</f>
        <v>0</v>
      </c>
      <c r="H89" s="75" t="n">
        <f aca="false">IF(F89="","",F89+G89)</f>
        <v>197266</v>
      </c>
      <c r="I89" s="75" t="str">
        <f aca="false">IF(E52="","",IF(4&gt;IF(E55="",10,E55),"",E52*(1+IF(E53="",0,E53))^ROUNDDOWN((4-1)/IF(E54="",5,E54),0)))</f>
        <v/>
      </c>
      <c r="J89" s="75" t="str">
        <f aca="false">IF(I89="","",IF((IF(E62="",IF($D$35="",0,$D$35),E62))=0,0,MAX(0,2621465.13-(IF(E63&lt;&gt;"",E63,IF($D$37&lt;&gt;"",$D$37,IF((IF(E62="",IF($D$35="",0,$D$35),E62))=0,0,E52/(IF(E62="",IF($D$35="",0,$D$35),E62)))))))*(IF(E62="",IF($D$35="",0,$D$35),E62))))</f>
        <v/>
      </c>
      <c r="K89" s="75" t="str">
        <f aca="false">IF(I89="","",I89+J89)</f>
        <v/>
      </c>
      <c r="L89" s="75" t="str">
        <f aca="false">IF(F52="","",IF(4&gt;IF(F55="",10,F55),"",F52*(1+IF(F53="",0,F53))^ROUNDDOWN((4-1)/IF(F54="",5,F54),0)))</f>
        <v/>
      </c>
      <c r="M89" s="75" t="str">
        <f aca="false">IF(L89="","",IF((IF(F62="",IF($D$35="",0,$D$35),F62))=0,0,MAX(0,2621465.13-(IF(F63&lt;&gt;"",F63,IF($D$37&lt;&gt;"",$D$37,IF((IF(F62="",IF($D$35="",0,$D$35),F62))=0,0,F52/(IF(F62="",IF($D$35="",0,$D$35),F62)))))))*(IF(F62="",IF($D$35="",0,$D$35),F62))))</f>
        <v/>
      </c>
      <c r="N89" s="75" t="str">
        <f aca="false">IF(L89="","",L89+M89)</f>
        <v/>
      </c>
      <c r="O89" s="75" t="str">
        <f aca="false">IF(G52="","",IF(4&gt;IF(G55="",10,G55),"",G52*(1+IF(G53="",0,G53))^ROUNDDOWN((4-1)/IF(G54="",5,G54),0)))</f>
        <v/>
      </c>
      <c r="P89" s="75" t="str">
        <f aca="false">IF(O89="","",IF((IF(G62="",IF($D$35="",0,$D$35),G62))=0,0,MAX(0,2621465.13-(IF(G63&lt;&gt;"",G63,IF($D$37&lt;&gt;"",$D$37,IF((IF(G62="",IF($D$35="",0,$D$35),G62))=0,0,G52/(IF(G62="",IF($D$35="",0,$D$35),G62)))))))*(IF(G62="",IF($D$35="",0,$D$35),G62))))</f>
        <v/>
      </c>
      <c r="Q89" s="75" t="str">
        <f aca="false">IF(O89="","",O89+P89)</f>
        <v/>
      </c>
      <c r="R89" s="75" t="str">
        <f aca="false">IF(H52="","",IF(4&gt;IF(H55="",10,H55),"",H52*(1+IF(H53="",0,H53))^ROUNDDOWN((4-1)/IF(H54="",5,H54),0)))</f>
        <v/>
      </c>
      <c r="S89" s="75" t="str">
        <f aca="false">IF(R89="","",IF((IF(H62="",IF($D$35="",0,$D$35),H62))=0,0,MAX(0,2621465.13-(IF(H63&lt;&gt;"",H63,IF($D$37&lt;&gt;"",$D$37,IF((IF(H62="",IF($D$35="",0,$D$35),H62))=0,0,H52/(IF(H62="",IF($D$35="",0,$D$35),H62)))))))*(IF(H62="",IF($D$35="",0,$D$35),H62))))</f>
        <v/>
      </c>
      <c r="T89" s="75" t="str">
        <f aca="false">IF(R89="","",R89+S89)</f>
        <v/>
      </c>
    </row>
    <row r="90" customFormat="false" ht="15" hidden="false" customHeight="false" outlineLevel="0" collapsed="false">
      <c r="A90" s="74" t="n">
        <v>5</v>
      </c>
      <c r="B90" s="75" t="n">
        <v>2673894</v>
      </c>
      <c r="C90" s="76" t="n">
        <v>197266</v>
      </c>
      <c r="D90" s="76" t="n">
        <v>0</v>
      </c>
      <c r="E90" s="76" t="n">
        <v>197266</v>
      </c>
      <c r="F90" s="75" t="n">
        <f aca="false">IF(D52="","",IF(5&gt;IF(D55="",10,D55),"",D52*(1+IF(D53="",0,D53))^ROUNDDOWN((5-1)/IF(D54="",5,D54),0)))</f>
        <v>197266</v>
      </c>
      <c r="G90" s="75" t="n">
        <f aca="false">IF(F90="","",IF((IF(D62="",IF($D$35="",0,$D$35),D62))=0,0,MAX(0,2673894.43-(IF(D63&lt;&gt;"",D63,IF($D$37&lt;&gt;"",$D$37,IF((IF(D62="",IF($D$35="",0,$D$35),D62))=0,0,D52/(IF(D62="",IF($D$35="",0,$D$35),D62)))))))*(IF(D62="",IF($D$35="",0,$D$35),D62))))</f>
        <v>0</v>
      </c>
      <c r="H90" s="75" t="n">
        <f aca="false">IF(F90="","",F90+G90)</f>
        <v>197266</v>
      </c>
      <c r="I90" s="75" t="str">
        <f aca="false">IF(E52="","",IF(5&gt;IF(E55="",10,E55),"",E52*(1+IF(E53="",0,E53))^ROUNDDOWN((5-1)/IF(E54="",5,E54),0)))</f>
        <v/>
      </c>
      <c r="J90" s="75" t="str">
        <f aca="false">IF(I90="","",IF((IF(E62="",IF($D$35="",0,$D$35),E62))=0,0,MAX(0,2673894.43-(IF(E63&lt;&gt;"",E63,IF($D$37&lt;&gt;"",$D$37,IF((IF(E62="",IF($D$35="",0,$D$35),E62))=0,0,E52/(IF(E62="",IF($D$35="",0,$D$35),E62)))))))*(IF(E62="",IF($D$35="",0,$D$35),E62))))</f>
        <v/>
      </c>
      <c r="K90" s="75" t="str">
        <f aca="false">IF(I90="","",I90+J90)</f>
        <v/>
      </c>
      <c r="L90" s="75" t="str">
        <f aca="false">IF(F52="","",IF(5&gt;IF(F55="",10,F55),"",F52*(1+IF(F53="",0,F53))^ROUNDDOWN((5-1)/IF(F54="",5,F54),0)))</f>
        <v/>
      </c>
      <c r="M90" s="75" t="str">
        <f aca="false">IF(L90="","",IF((IF(F62="",IF($D$35="",0,$D$35),F62))=0,0,MAX(0,2673894.43-(IF(F63&lt;&gt;"",F63,IF($D$37&lt;&gt;"",$D$37,IF((IF(F62="",IF($D$35="",0,$D$35),F62))=0,0,F52/(IF(F62="",IF($D$35="",0,$D$35),F62)))))))*(IF(F62="",IF($D$35="",0,$D$35),F62))))</f>
        <v/>
      </c>
      <c r="N90" s="75" t="str">
        <f aca="false">IF(L90="","",L90+M90)</f>
        <v/>
      </c>
      <c r="O90" s="75" t="str">
        <f aca="false">IF(G52="","",IF(5&gt;IF(G55="",10,G55),"",G52*(1+IF(G53="",0,G53))^ROUNDDOWN((5-1)/IF(G54="",5,G54),0)))</f>
        <v/>
      </c>
      <c r="P90" s="75" t="str">
        <f aca="false">IF(O90="","",IF((IF(G62="",IF($D$35="",0,$D$35),G62))=0,0,MAX(0,2673894.43-(IF(G63&lt;&gt;"",G63,IF($D$37&lt;&gt;"",$D$37,IF((IF(G62="",IF($D$35="",0,$D$35),G62))=0,0,G52/(IF(G62="",IF($D$35="",0,$D$35),G62)))))))*(IF(G62="",IF($D$35="",0,$D$35),G62))))</f>
        <v/>
      </c>
      <c r="Q90" s="75" t="str">
        <f aca="false">IF(O90="","",O90+P90)</f>
        <v/>
      </c>
      <c r="R90" s="75" t="str">
        <f aca="false">IF(H52="","",IF(5&gt;IF(H55="",10,H55),"",H52*(1+IF(H53="",0,H53))^ROUNDDOWN((5-1)/IF(H54="",5,H54),0)))</f>
        <v/>
      </c>
      <c r="S90" s="75" t="str">
        <f aca="false">IF(R90="","",IF((IF(H62="",IF($D$35="",0,$D$35),H62))=0,0,MAX(0,2673894.43-(IF(H63&lt;&gt;"",H63,IF($D$37&lt;&gt;"",$D$37,IF((IF(H62="",IF($D$35="",0,$D$35),H62))=0,0,H52/(IF(H62="",IF($D$35="",0,$D$35),H62)))))))*(IF(H62="",IF($D$35="",0,$D$35),H62))))</f>
        <v/>
      </c>
      <c r="T90" s="75" t="str">
        <f aca="false">IF(R90="","",R90+S90)</f>
        <v/>
      </c>
    </row>
    <row r="91" customFormat="false" ht="15" hidden="false" customHeight="false" outlineLevel="0" collapsed="false">
      <c r="A91" s="74" t="n">
        <v>6</v>
      </c>
      <c r="B91" s="75" t="n">
        <v>2727372</v>
      </c>
      <c r="C91" s="76" t="n">
        <v>197266</v>
      </c>
      <c r="D91" s="76" t="n">
        <v>0</v>
      </c>
      <c r="E91" s="76" t="n">
        <v>197266</v>
      </c>
      <c r="F91" s="75" t="n">
        <f aca="false">IF(D52="","",IF(6&gt;IF(D55="",10,D55),"",D52*(1+IF(D53="",0,D53))^ROUNDDOWN((6-1)/IF(D54="",5,D54),0)))</f>
        <v>201211.32</v>
      </c>
      <c r="G91" s="75" t="n">
        <f aca="false">IF(F91="","",IF((IF(D62="",IF($D$35="",0,$D$35),D62))=0,0,MAX(0,2727372.32-(IF(D63&lt;&gt;"",D63,IF($D$37&lt;&gt;"",$D$37,IF((IF(D62="",IF($D$35="",0,$D$35),D62))=0,0,D52/(IF(D62="",IF($D$35="",0,$D$35),D62)))))))*(IF(D62="",IF($D$35="",0,$D$35),D62))))</f>
        <v>0</v>
      </c>
      <c r="H91" s="75" t="n">
        <f aca="false">IF(F91="","",F91+G91)</f>
        <v>201211.32</v>
      </c>
      <c r="I91" s="75" t="str">
        <f aca="false">IF(E52="","",IF(6&gt;IF(E55="",10,E55),"",E52*(1+IF(E53="",0,E53))^ROUNDDOWN((6-1)/IF(E54="",5,E54),0)))</f>
        <v/>
      </c>
      <c r="J91" s="75" t="str">
        <f aca="false">IF(I91="","",IF((IF(E62="",IF($D$35="",0,$D$35),E62))=0,0,MAX(0,2727372.32-(IF(E63&lt;&gt;"",E63,IF($D$37&lt;&gt;"",$D$37,IF((IF(E62="",IF($D$35="",0,$D$35),E62))=0,0,E52/(IF(E62="",IF($D$35="",0,$D$35),E62)))))))*(IF(E62="",IF($D$35="",0,$D$35),E62))))</f>
        <v/>
      </c>
      <c r="K91" s="75" t="str">
        <f aca="false">IF(I91="","",I91+J91)</f>
        <v/>
      </c>
      <c r="L91" s="75" t="str">
        <f aca="false">IF(F52="","",IF(6&gt;IF(F55="",10,F55),"",F52*(1+IF(F53="",0,F53))^ROUNDDOWN((6-1)/IF(F54="",5,F54),0)))</f>
        <v/>
      </c>
      <c r="M91" s="75" t="str">
        <f aca="false">IF(L91="","",IF((IF(F62="",IF($D$35="",0,$D$35),F62))=0,0,MAX(0,2727372.32-(IF(F63&lt;&gt;"",F63,IF($D$37&lt;&gt;"",$D$37,IF((IF(F62="",IF($D$35="",0,$D$35),F62))=0,0,F52/(IF(F62="",IF($D$35="",0,$D$35),F62)))))))*(IF(F62="",IF($D$35="",0,$D$35),F62))))</f>
        <v/>
      </c>
      <c r="N91" s="75" t="str">
        <f aca="false">IF(L91="","",L91+M91)</f>
        <v/>
      </c>
      <c r="O91" s="75" t="str">
        <f aca="false">IF(G52="","",IF(6&gt;IF(G55="",10,G55),"",G52*(1+IF(G53="",0,G53))^ROUNDDOWN((6-1)/IF(G54="",5,G54),0)))</f>
        <v/>
      </c>
      <c r="P91" s="75" t="str">
        <f aca="false">IF(O91="","",IF((IF(G62="",IF($D$35="",0,$D$35),G62))=0,0,MAX(0,2727372.32-(IF(G63&lt;&gt;"",G63,IF($D$37&lt;&gt;"",$D$37,IF((IF(G62="",IF($D$35="",0,$D$35),G62))=0,0,G52/(IF(G62="",IF($D$35="",0,$D$35),G62)))))))*(IF(G62="",IF($D$35="",0,$D$35),G62))))</f>
        <v/>
      </c>
      <c r="Q91" s="75" t="str">
        <f aca="false">IF(O91="","",O91+P91)</f>
        <v/>
      </c>
      <c r="R91" s="75" t="str">
        <f aca="false">IF(H52="","",IF(6&gt;IF(H55="",10,H55),"",H52*(1+IF(H53="",0,H53))^ROUNDDOWN((6-1)/IF(H54="",5,H54),0)))</f>
        <v/>
      </c>
      <c r="S91" s="75" t="str">
        <f aca="false">IF(R91="","",IF((IF(H62="",IF($D$35="",0,$D$35),H62))=0,0,MAX(0,2727372.32-(IF(H63&lt;&gt;"",H63,IF($D$37&lt;&gt;"",$D$37,IF((IF(H62="",IF($D$35="",0,$D$35),H62))=0,0,H52/(IF(H62="",IF($D$35="",0,$D$35),H62)))))))*(IF(H62="",IF($D$35="",0,$D$35),H62))))</f>
        <v/>
      </c>
      <c r="T91" s="75" t="str">
        <f aca="false">IF(R91="","",R91+S91)</f>
        <v/>
      </c>
    </row>
    <row r="92" customFormat="false" ht="15" hidden="false" customHeight="false" outlineLevel="0" collapsed="false">
      <c r="A92" s="74" t="n">
        <v>7</v>
      </c>
      <c r="B92" s="75" t="n">
        <v>2781920</v>
      </c>
      <c r="C92" s="76" t="n">
        <v>197266</v>
      </c>
      <c r="D92" s="76" t="n">
        <v>0</v>
      </c>
      <c r="E92" s="76" t="n">
        <v>197266</v>
      </c>
      <c r="F92" s="75" t="n">
        <f aca="false">IF(D52="","",IF(7&gt;IF(D55="",10,D55),"",D52*(1+IF(D53="",0,D53))^ROUNDDOWN((7-1)/IF(D54="",5,D54),0)))</f>
        <v>201211.32</v>
      </c>
      <c r="G92" s="75" t="n">
        <f aca="false">IF(F92="","",IF((IF(D62="",IF($D$35="",0,$D$35),D62))=0,0,MAX(0,2781919.77-(IF(D63&lt;&gt;"",D63,IF($D$37&lt;&gt;"",$D$37,IF((IF(D62="",IF($D$35="",0,$D$35),D62))=0,0,D52/(IF(D62="",IF($D$35="",0,$D$35),D62)))))))*(IF(D62="",IF($D$35="",0,$D$35),D62))))</f>
        <v>0</v>
      </c>
      <c r="H92" s="75" t="n">
        <f aca="false">IF(F92="","",F92+G92)</f>
        <v>201211.32</v>
      </c>
      <c r="I92" s="75" t="str">
        <f aca="false">IF(E52="","",IF(7&gt;IF(E55="",10,E55),"",E52*(1+IF(E53="",0,E53))^ROUNDDOWN((7-1)/IF(E54="",5,E54),0)))</f>
        <v/>
      </c>
      <c r="J92" s="75" t="str">
        <f aca="false">IF(I92="","",IF((IF(E62="",IF($D$35="",0,$D$35),E62))=0,0,MAX(0,2781919.77-(IF(E63&lt;&gt;"",E63,IF($D$37&lt;&gt;"",$D$37,IF((IF(E62="",IF($D$35="",0,$D$35),E62))=0,0,E52/(IF(E62="",IF($D$35="",0,$D$35),E62)))))))*(IF(E62="",IF($D$35="",0,$D$35),E62))))</f>
        <v/>
      </c>
      <c r="K92" s="75" t="str">
        <f aca="false">IF(I92="","",I92+J92)</f>
        <v/>
      </c>
      <c r="L92" s="75" t="str">
        <f aca="false">IF(F52="","",IF(7&gt;IF(F55="",10,F55),"",F52*(1+IF(F53="",0,F53))^ROUNDDOWN((7-1)/IF(F54="",5,F54),0)))</f>
        <v/>
      </c>
      <c r="M92" s="75" t="str">
        <f aca="false">IF(L92="","",IF((IF(F62="",IF($D$35="",0,$D$35),F62))=0,0,MAX(0,2781919.77-(IF(F63&lt;&gt;"",F63,IF($D$37&lt;&gt;"",$D$37,IF((IF(F62="",IF($D$35="",0,$D$35),F62))=0,0,F52/(IF(F62="",IF($D$35="",0,$D$35),F62)))))))*(IF(F62="",IF($D$35="",0,$D$35),F62))))</f>
        <v/>
      </c>
      <c r="N92" s="75" t="str">
        <f aca="false">IF(L92="","",L92+M92)</f>
        <v/>
      </c>
      <c r="O92" s="75" t="str">
        <f aca="false">IF(G52="","",IF(7&gt;IF(G55="",10,G55),"",G52*(1+IF(G53="",0,G53))^ROUNDDOWN((7-1)/IF(G54="",5,G54),0)))</f>
        <v/>
      </c>
      <c r="P92" s="75" t="str">
        <f aca="false">IF(O92="","",IF((IF(G62="",IF($D$35="",0,$D$35),G62))=0,0,MAX(0,2781919.77-(IF(G63&lt;&gt;"",G63,IF($D$37&lt;&gt;"",$D$37,IF((IF(G62="",IF($D$35="",0,$D$35),G62))=0,0,G52/(IF(G62="",IF($D$35="",0,$D$35),G62)))))))*(IF(G62="",IF($D$35="",0,$D$35),G62))))</f>
        <v/>
      </c>
      <c r="Q92" s="75" t="str">
        <f aca="false">IF(O92="","",O92+P92)</f>
        <v/>
      </c>
      <c r="R92" s="75" t="str">
        <f aca="false">IF(H52="","",IF(7&gt;IF(H55="",10,H55),"",H52*(1+IF(H53="",0,H53))^ROUNDDOWN((7-1)/IF(H54="",5,H54),0)))</f>
        <v/>
      </c>
      <c r="S92" s="75" t="str">
        <f aca="false">IF(R92="","",IF((IF(H62="",IF($D$35="",0,$D$35),H62))=0,0,MAX(0,2781919.77-(IF(H63&lt;&gt;"",H63,IF($D$37&lt;&gt;"",$D$37,IF((IF(H62="",IF($D$35="",0,$D$35),H62))=0,0,H52/(IF(H62="",IF($D$35="",0,$D$35),H62)))))))*(IF(H62="",IF($D$35="",0,$D$35),H62))))</f>
        <v/>
      </c>
      <c r="T92" s="75" t="str">
        <f aca="false">IF(R92="","",R92+S92)</f>
        <v/>
      </c>
    </row>
    <row r="93" customFormat="false" ht="15" hidden="false" customHeight="false" outlineLevel="0" collapsed="false">
      <c r="A93" s="74" t="n">
        <v>8</v>
      </c>
      <c r="B93" s="75" t="n">
        <v>2837558</v>
      </c>
      <c r="C93" s="76" t="n">
        <v>197266</v>
      </c>
      <c r="D93" s="76" t="n">
        <v>0</v>
      </c>
      <c r="E93" s="76" t="n">
        <v>197266</v>
      </c>
      <c r="F93" s="75" t="n">
        <f aca="false">IF(D52="","",IF(8&gt;IF(D55="",10,D55),"",D52*(1+IF(D53="",0,D53))^ROUNDDOWN((8-1)/IF(D54="",5,D54),0)))</f>
        <v>201211.32</v>
      </c>
      <c r="G93" s="75" t="n">
        <f aca="false">IF(F93="","",IF((IF(D62="",IF($D$35="",0,$D$35),D62))=0,0,MAX(0,2837558.16-(IF(D63&lt;&gt;"",D63,IF($D$37&lt;&gt;"",$D$37,IF((IF(D62="",IF($D$35="",0,$D$35),D62))=0,0,D52/(IF(D62="",IF($D$35="",0,$D$35),D62)))))))*(IF(D62="",IF($D$35="",0,$D$35),D62))))</f>
        <v>0</v>
      </c>
      <c r="H93" s="75" t="n">
        <f aca="false">IF(F93="","",F93+G93)</f>
        <v>201211.32</v>
      </c>
      <c r="I93" s="75" t="str">
        <f aca="false">IF(E52="","",IF(8&gt;IF(E55="",10,E55),"",E52*(1+IF(E53="",0,E53))^ROUNDDOWN((8-1)/IF(E54="",5,E54),0)))</f>
        <v/>
      </c>
      <c r="J93" s="75" t="str">
        <f aca="false">IF(I93="","",IF((IF(E62="",IF($D$35="",0,$D$35),E62))=0,0,MAX(0,2837558.16-(IF(E63&lt;&gt;"",E63,IF($D$37&lt;&gt;"",$D$37,IF((IF(E62="",IF($D$35="",0,$D$35),E62))=0,0,E52/(IF(E62="",IF($D$35="",0,$D$35),E62)))))))*(IF(E62="",IF($D$35="",0,$D$35),E62))))</f>
        <v/>
      </c>
      <c r="K93" s="75" t="str">
        <f aca="false">IF(I93="","",I93+J93)</f>
        <v/>
      </c>
      <c r="L93" s="75" t="str">
        <f aca="false">IF(F52="","",IF(8&gt;IF(F55="",10,F55),"",F52*(1+IF(F53="",0,F53))^ROUNDDOWN((8-1)/IF(F54="",5,F54),0)))</f>
        <v/>
      </c>
      <c r="M93" s="75" t="str">
        <f aca="false">IF(L93="","",IF((IF(F62="",IF($D$35="",0,$D$35),F62))=0,0,MAX(0,2837558.16-(IF(F63&lt;&gt;"",F63,IF($D$37&lt;&gt;"",$D$37,IF((IF(F62="",IF($D$35="",0,$D$35),F62))=0,0,F52/(IF(F62="",IF($D$35="",0,$D$35),F62)))))))*(IF(F62="",IF($D$35="",0,$D$35),F62))))</f>
        <v/>
      </c>
      <c r="N93" s="75" t="str">
        <f aca="false">IF(L93="","",L93+M93)</f>
        <v/>
      </c>
      <c r="O93" s="75" t="str">
        <f aca="false">IF(G52="","",IF(8&gt;IF(G55="",10,G55),"",G52*(1+IF(G53="",0,G53))^ROUNDDOWN((8-1)/IF(G54="",5,G54),0)))</f>
        <v/>
      </c>
      <c r="P93" s="75" t="str">
        <f aca="false">IF(O93="","",IF((IF(G62="",IF($D$35="",0,$D$35),G62))=0,0,MAX(0,2837558.16-(IF(G63&lt;&gt;"",G63,IF($D$37&lt;&gt;"",$D$37,IF((IF(G62="",IF($D$35="",0,$D$35),G62))=0,0,G52/(IF(G62="",IF($D$35="",0,$D$35),G62)))))))*(IF(G62="",IF($D$35="",0,$D$35),G62))))</f>
        <v/>
      </c>
      <c r="Q93" s="75" t="str">
        <f aca="false">IF(O93="","",O93+P93)</f>
        <v/>
      </c>
      <c r="R93" s="75" t="str">
        <f aca="false">IF(H52="","",IF(8&gt;IF(H55="",10,H55),"",H52*(1+IF(H53="",0,H53))^ROUNDDOWN((8-1)/IF(H54="",5,H54),0)))</f>
        <v/>
      </c>
      <c r="S93" s="75" t="str">
        <f aca="false">IF(R93="","",IF((IF(H62="",IF($D$35="",0,$D$35),H62))=0,0,MAX(0,2837558.16-(IF(H63&lt;&gt;"",H63,IF($D$37&lt;&gt;"",$D$37,IF((IF(H62="",IF($D$35="",0,$D$35),H62))=0,0,H52/(IF(H62="",IF($D$35="",0,$D$35),H62)))))))*(IF(H62="",IF($D$35="",0,$D$35),H62))))</f>
        <v/>
      </c>
      <c r="T93" s="75" t="str">
        <f aca="false">IF(R93="","",R93+S93)</f>
        <v/>
      </c>
    </row>
    <row r="94" customFormat="false" ht="15" hidden="false" customHeight="false" outlineLevel="0" collapsed="false">
      <c r="A94" s="74" t="n">
        <v>9</v>
      </c>
      <c r="B94" s="75" t="n">
        <v>2894309</v>
      </c>
      <c r="C94" s="76" t="n">
        <v>197266</v>
      </c>
      <c r="D94" s="76" t="n">
        <v>0</v>
      </c>
      <c r="E94" s="76" t="n">
        <v>197266</v>
      </c>
      <c r="F94" s="75" t="n">
        <f aca="false">IF(D52="","",IF(9&gt;IF(D55="",10,D55),"",D52*(1+IF(D53="",0,D53))^ROUNDDOWN((9-1)/IF(D54="",5,D54),0)))</f>
        <v>201211.32</v>
      </c>
      <c r="G94" s="75" t="n">
        <f aca="false">IF(F94="","",IF((IF(D62="",IF($D$35="",0,$D$35),D62))=0,0,MAX(0,2894309.32-(IF(D63&lt;&gt;"",D63,IF($D$37&lt;&gt;"",$D$37,IF((IF(D62="",IF($D$35="",0,$D$35),D62))=0,0,D52/(IF(D62="",IF($D$35="",0,$D$35),D62)))))))*(IF(D62="",IF($D$35="",0,$D$35),D62))))</f>
        <v>0</v>
      </c>
      <c r="H94" s="75" t="n">
        <f aca="false">IF(F94="","",F94+G94)</f>
        <v>201211.32</v>
      </c>
      <c r="I94" s="75" t="str">
        <f aca="false">IF(E52="","",IF(9&gt;IF(E55="",10,E55),"",E52*(1+IF(E53="",0,E53))^ROUNDDOWN((9-1)/IF(E54="",5,E54),0)))</f>
        <v/>
      </c>
      <c r="J94" s="75" t="str">
        <f aca="false">IF(I94="","",IF((IF(E62="",IF($D$35="",0,$D$35),E62))=0,0,MAX(0,2894309.32-(IF(E63&lt;&gt;"",E63,IF($D$37&lt;&gt;"",$D$37,IF((IF(E62="",IF($D$35="",0,$D$35),E62))=0,0,E52/(IF(E62="",IF($D$35="",0,$D$35),E62)))))))*(IF(E62="",IF($D$35="",0,$D$35),E62))))</f>
        <v/>
      </c>
      <c r="K94" s="75" t="str">
        <f aca="false">IF(I94="","",I94+J94)</f>
        <v/>
      </c>
      <c r="L94" s="75" t="str">
        <f aca="false">IF(F52="","",IF(9&gt;IF(F55="",10,F55),"",F52*(1+IF(F53="",0,F53))^ROUNDDOWN((9-1)/IF(F54="",5,F54),0)))</f>
        <v/>
      </c>
      <c r="M94" s="75" t="str">
        <f aca="false">IF(L94="","",IF((IF(F62="",IF($D$35="",0,$D$35),F62))=0,0,MAX(0,2894309.32-(IF(F63&lt;&gt;"",F63,IF($D$37&lt;&gt;"",$D$37,IF((IF(F62="",IF($D$35="",0,$D$35),F62))=0,0,F52/(IF(F62="",IF($D$35="",0,$D$35),F62)))))))*(IF(F62="",IF($D$35="",0,$D$35),F62))))</f>
        <v/>
      </c>
      <c r="N94" s="75" t="str">
        <f aca="false">IF(L94="","",L94+M94)</f>
        <v/>
      </c>
      <c r="O94" s="75" t="str">
        <f aca="false">IF(G52="","",IF(9&gt;IF(G55="",10,G55),"",G52*(1+IF(G53="",0,G53))^ROUNDDOWN((9-1)/IF(G54="",5,G54),0)))</f>
        <v/>
      </c>
      <c r="P94" s="75" t="str">
        <f aca="false">IF(O94="","",IF((IF(G62="",IF($D$35="",0,$D$35),G62))=0,0,MAX(0,2894309.32-(IF(G63&lt;&gt;"",G63,IF($D$37&lt;&gt;"",$D$37,IF((IF(G62="",IF($D$35="",0,$D$35),G62))=0,0,G52/(IF(G62="",IF($D$35="",0,$D$35),G62)))))))*(IF(G62="",IF($D$35="",0,$D$35),G62))))</f>
        <v/>
      </c>
      <c r="Q94" s="75" t="str">
        <f aca="false">IF(O94="","",O94+P94)</f>
        <v/>
      </c>
      <c r="R94" s="75" t="str">
        <f aca="false">IF(H52="","",IF(9&gt;IF(H55="",10,H55),"",H52*(1+IF(H53="",0,H53))^ROUNDDOWN((9-1)/IF(H54="",5,H54),0)))</f>
        <v/>
      </c>
      <c r="S94" s="75" t="str">
        <f aca="false">IF(R94="","",IF((IF(H62="",IF($D$35="",0,$D$35),H62))=0,0,MAX(0,2894309.32-(IF(H63&lt;&gt;"",H63,IF($D$37&lt;&gt;"",$D$37,IF((IF(H62="",IF($D$35="",0,$D$35),H62))=0,0,H52/(IF(H62="",IF($D$35="",0,$D$35),H62)))))))*(IF(H62="",IF($D$35="",0,$D$35),H62))))</f>
        <v/>
      </c>
      <c r="T94" s="75" t="str">
        <f aca="false">IF(R94="","",R94+S94)</f>
        <v/>
      </c>
    </row>
    <row r="95" customFormat="false" ht="15" hidden="false" customHeight="false" outlineLevel="0" collapsed="false">
      <c r="A95" s="74" t="n">
        <v>10</v>
      </c>
      <c r="B95" s="75" t="n">
        <v>2952196</v>
      </c>
      <c r="C95" s="76" t="n">
        <v>197266</v>
      </c>
      <c r="D95" s="76" t="n">
        <v>0</v>
      </c>
      <c r="E95" s="76" t="n">
        <v>197266</v>
      </c>
      <c r="F95" s="75" t="n">
        <f aca="false">IF(D52="","",IF(10&gt;IF(D55="",10,D55),"",D52*(1+IF(D53="",0,D53))^ROUNDDOWN((10-1)/IF(D54="",5,D54),0)))</f>
        <v>201211.32</v>
      </c>
      <c r="G95" s="75" t="n">
        <f aca="false">IF(F95="","",IF((IF(D62="",IF($D$35="",0,$D$35),D62))=0,0,MAX(0,2952195.51-(IF(D63&lt;&gt;"",D63,IF($D$37&lt;&gt;"",$D$37,IF((IF(D62="",IF($D$35="",0,$D$35),D62))=0,0,D52/(IF(D62="",IF($D$35="",0,$D$35),D62)))))))*(IF(D62="",IF($D$35="",0,$D$35),D62))))</f>
        <v>0</v>
      </c>
      <c r="H95" s="75" t="n">
        <f aca="false">IF(F95="","",F95+G95)</f>
        <v>201211.32</v>
      </c>
      <c r="I95" s="75" t="str">
        <f aca="false">IF(E52="","",IF(10&gt;IF(E55="",10,E55),"",E52*(1+IF(E53="",0,E53))^ROUNDDOWN((10-1)/IF(E54="",5,E54),0)))</f>
        <v/>
      </c>
      <c r="J95" s="75" t="str">
        <f aca="false">IF(I95="","",IF((IF(E62="",IF($D$35="",0,$D$35),E62))=0,0,MAX(0,2952195.51-(IF(E63&lt;&gt;"",E63,IF($D$37&lt;&gt;"",$D$37,IF((IF(E62="",IF($D$35="",0,$D$35),E62))=0,0,E52/(IF(E62="",IF($D$35="",0,$D$35),E62)))))))*(IF(E62="",IF($D$35="",0,$D$35),E62))))</f>
        <v/>
      </c>
      <c r="K95" s="75" t="str">
        <f aca="false">IF(I95="","",I95+J95)</f>
        <v/>
      </c>
      <c r="L95" s="75" t="str">
        <f aca="false">IF(F52="","",IF(10&gt;IF(F55="",10,F55),"",F52*(1+IF(F53="",0,F53))^ROUNDDOWN((10-1)/IF(F54="",5,F54),0)))</f>
        <v/>
      </c>
      <c r="M95" s="75" t="str">
        <f aca="false">IF(L95="","",IF((IF(F62="",IF($D$35="",0,$D$35),F62))=0,0,MAX(0,2952195.51-(IF(F63&lt;&gt;"",F63,IF($D$37&lt;&gt;"",$D$37,IF((IF(F62="",IF($D$35="",0,$D$35),F62))=0,0,F52/(IF(F62="",IF($D$35="",0,$D$35),F62)))))))*(IF(F62="",IF($D$35="",0,$D$35),F62))))</f>
        <v/>
      </c>
      <c r="N95" s="75" t="str">
        <f aca="false">IF(L95="","",L95+M95)</f>
        <v/>
      </c>
      <c r="O95" s="75" t="str">
        <f aca="false">IF(G52="","",IF(10&gt;IF(G55="",10,G55),"",G52*(1+IF(G53="",0,G53))^ROUNDDOWN((10-1)/IF(G54="",5,G54),0)))</f>
        <v/>
      </c>
      <c r="P95" s="75" t="str">
        <f aca="false">IF(O95="","",IF((IF(G62="",IF($D$35="",0,$D$35),G62))=0,0,MAX(0,2952195.51-(IF(G63&lt;&gt;"",G63,IF($D$37&lt;&gt;"",$D$37,IF((IF(G62="",IF($D$35="",0,$D$35),G62))=0,0,G52/(IF(G62="",IF($D$35="",0,$D$35),G62)))))))*(IF(G62="",IF($D$35="",0,$D$35),G62))))</f>
        <v/>
      </c>
      <c r="Q95" s="75" t="str">
        <f aca="false">IF(O95="","",O95+P95)</f>
        <v/>
      </c>
      <c r="R95" s="75" t="str">
        <f aca="false">IF(H52="","",IF(10&gt;IF(H55="",10,H55),"",H52*(1+IF(H53="",0,H53))^ROUNDDOWN((10-1)/IF(H54="",5,H54),0)))</f>
        <v/>
      </c>
      <c r="S95" s="75" t="str">
        <f aca="false">IF(R95="","",IF((IF(H62="",IF($D$35="",0,$D$35),H62))=0,0,MAX(0,2952195.51-(IF(H63&lt;&gt;"",H63,IF($D$37&lt;&gt;"",$D$37,IF((IF(H62="",IF($D$35="",0,$D$35),H62))=0,0,H52/(IF(H62="",IF($D$35="",0,$D$35),H62)))))))*(IF(H62="",IF($D$35="",0,$D$35),H62))))</f>
        <v/>
      </c>
      <c r="T95" s="75" t="str">
        <f aca="false">IF(R95="","",R95+S95)</f>
        <v/>
      </c>
    </row>
    <row r="96" customFormat="false" ht="15" hidden="false" customHeight="false" outlineLevel="0" collapsed="false">
      <c r="A96" s="74" t="n">
        <v>11</v>
      </c>
      <c r="B96" s="75" t="n">
        <v>3011239</v>
      </c>
      <c r="C96" s="76" t="n">
        <v>197266</v>
      </c>
      <c r="D96" s="76" t="n">
        <v>0</v>
      </c>
      <c r="E96" s="76" t="n">
        <v>197266</v>
      </c>
      <c r="F96" s="75" t="n">
        <f aca="false">IF(D52="","",IF(11&gt;IF(D55="",10,D55),"",D52*(1+IF(D53="",0,D53))^ROUNDDOWN((11-1)/IF(D54="",5,D54),0)))</f>
        <v>205235.5464</v>
      </c>
      <c r="G96" s="75" t="n">
        <f aca="false">IF(F96="","",IF((IF(D62="",IF($D$35="",0,$D$35),D62))=0,0,MAX(0,3011239.42-(IF(D63&lt;&gt;"",D63,IF($D$37&lt;&gt;"",$D$37,IF((IF(D62="",IF($D$35="",0,$D$35),D62))=0,0,D52/(IF(D62="",IF($D$35="",0,$D$35),D62)))))))*(IF(D62="",IF($D$35="",0,$D$35),D62))))</f>
        <v>0</v>
      </c>
      <c r="H96" s="75" t="n">
        <f aca="false">IF(F96="","",F96+G96)</f>
        <v>205235.5464</v>
      </c>
      <c r="I96" s="75" t="str">
        <f aca="false">IF(E52="","",IF(11&gt;IF(E55="",10,E55),"",E52*(1+IF(E53="",0,E53))^ROUNDDOWN((11-1)/IF(E54="",5,E54),0)))</f>
        <v/>
      </c>
      <c r="J96" s="75" t="str">
        <f aca="false">IF(I96="","",IF((IF(E62="",IF($D$35="",0,$D$35),E62))=0,0,MAX(0,3011239.42-(IF(E63&lt;&gt;"",E63,IF($D$37&lt;&gt;"",$D$37,IF((IF(E62="",IF($D$35="",0,$D$35),E62))=0,0,E52/(IF(E62="",IF($D$35="",0,$D$35),E62)))))))*(IF(E62="",IF($D$35="",0,$D$35),E62))))</f>
        <v/>
      </c>
      <c r="K96" s="75" t="str">
        <f aca="false">IF(I96="","",I96+J96)</f>
        <v/>
      </c>
      <c r="L96" s="75" t="str">
        <f aca="false">IF(F52="","",IF(11&gt;IF(F55="",10,F55),"",F52*(1+IF(F53="",0,F53))^ROUNDDOWN((11-1)/IF(F54="",5,F54),0)))</f>
        <v/>
      </c>
      <c r="M96" s="75" t="str">
        <f aca="false">IF(L96="","",IF((IF(F62="",IF($D$35="",0,$D$35),F62))=0,0,MAX(0,3011239.42-(IF(F63&lt;&gt;"",F63,IF($D$37&lt;&gt;"",$D$37,IF((IF(F62="",IF($D$35="",0,$D$35),F62))=0,0,F52/(IF(F62="",IF($D$35="",0,$D$35),F62)))))))*(IF(F62="",IF($D$35="",0,$D$35),F62))))</f>
        <v/>
      </c>
      <c r="N96" s="75" t="str">
        <f aca="false">IF(L96="","",L96+M96)</f>
        <v/>
      </c>
      <c r="O96" s="75" t="str">
        <f aca="false">IF(G52="","",IF(11&gt;IF(G55="",10,G55),"",G52*(1+IF(G53="",0,G53))^ROUNDDOWN((11-1)/IF(G54="",5,G54),0)))</f>
        <v/>
      </c>
      <c r="P96" s="75" t="str">
        <f aca="false">IF(O96="","",IF((IF(G62="",IF($D$35="",0,$D$35),G62))=0,0,MAX(0,3011239.42-(IF(G63&lt;&gt;"",G63,IF($D$37&lt;&gt;"",$D$37,IF((IF(G62="",IF($D$35="",0,$D$35),G62))=0,0,G52/(IF(G62="",IF($D$35="",0,$D$35),G62)))))))*(IF(G62="",IF($D$35="",0,$D$35),G62))))</f>
        <v/>
      </c>
      <c r="Q96" s="75" t="str">
        <f aca="false">IF(O96="","",O96+P96)</f>
        <v/>
      </c>
      <c r="R96" s="75" t="str">
        <f aca="false">IF(H52="","",IF(11&gt;IF(H55="",10,H55),"",H52*(1+IF(H53="",0,H53))^ROUNDDOWN((11-1)/IF(H54="",5,H54),0)))</f>
        <v/>
      </c>
      <c r="S96" s="75" t="str">
        <f aca="false">IF(R96="","",IF((IF(H62="",IF($D$35="",0,$D$35),H62))=0,0,MAX(0,3011239.42-(IF(H63&lt;&gt;"",H63,IF($D$37&lt;&gt;"",$D$37,IF((IF(H62="",IF($D$35="",0,$D$35),H62))=0,0,H52/(IF(H62="",IF($D$35="",0,$D$35),H62)))))))*(IF(H62="",IF($D$35="",0,$D$35),H62))))</f>
        <v/>
      </c>
      <c r="T96" s="75" t="str">
        <f aca="false">IF(R96="","",R96+S96)</f>
        <v/>
      </c>
    </row>
    <row r="97" customFormat="false" ht="15" hidden="false" customHeight="false" outlineLevel="0" collapsed="false">
      <c r="A97" s="74" t="n">
        <v>12</v>
      </c>
      <c r="B97" s="75" t="n">
        <v>3071464</v>
      </c>
      <c r="C97" s="76" t="n">
        <v>197266</v>
      </c>
      <c r="D97" s="76" t="n">
        <v>0</v>
      </c>
      <c r="E97" s="76" t="n">
        <v>197266</v>
      </c>
      <c r="F97" s="75" t="n">
        <f aca="false">IF(D52="","",IF(12&gt;IF(D55="",10,D55),"",D52*(1+IF(D53="",0,D53))^ROUNDDOWN((12-1)/IF(D54="",5,D54),0)))</f>
        <v>205235.5464</v>
      </c>
      <c r="G97" s="75" t="n">
        <f aca="false">IF(F97="","",IF((IF(D62="",IF($D$35="",0,$D$35),D62))=0,0,MAX(0,3071464.21-(IF(D63&lt;&gt;"",D63,IF($D$37&lt;&gt;"",$D$37,IF((IF(D62="",IF($D$35="",0,$D$35),D62))=0,0,D52/(IF(D62="",IF($D$35="",0,$D$35),D62)))))))*(IF(D62="",IF($D$35="",0,$D$35),D62))))</f>
        <v>0</v>
      </c>
      <c r="H97" s="75" t="n">
        <f aca="false">IF(F97="","",F97+G97)</f>
        <v>205235.5464</v>
      </c>
      <c r="I97" s="75" t="str">
        <f aca="false">IF(E52="","",IF(12&gt;IF(E55="",10,E55),"",E52*(1+IF(E53="",0,E53))^ROUNDDOWN((12-1)/IF(E54="",5,E54),0)))</f>
        <v/>
      </c>
      <c r="J97" s="75" t="str">
        <f aca="false">IF(I97="","",IF((IF(E62="",IF($D$35="",0,$D$35),E62))=0,0,MAX(0,3071464.21-(IF(E63&lt;&gt;"",E63,IF($D$37&lt;&gt;"",$D$37,IF((IF(E62="",IF($D$35="",0,$D$35),E62))=0,0,E52/(IF(E62="",IF($D$35="",0,$D$35),E62)))))))*(IF(E62="",IF($D$35="",0,$D$35),E62))))</f>
        <v/>
      </c>
      <c r="K97" s="75" t="str">
        <f aca="false">IF(I97="","",I97+J97)</f>
        <v/>
      </c>
      <c r="L97" s="75" t="str">
        <f aca="false">IF(F52="","",IF(12&gt;IF(F55="",10,F55),"",F52*(1+IF(F53="",0,F53))^ROUNDDOWN((12-1)/IF(F54="",5,F54),0)))</f>
        <v/>
      </c>
      <c r="M97" s="75" t="str">
        <f aca="false">IF(L97="","",IF((IF(F62="",IF($D$35="",0,$D$35),F62))=0,0,MAX(0,3071464.21-(IF(F63&lt;&gt;"",F63,IF($D$37&lt;&gt;"",$D$37,IF((IF(F62="",IF($D$35="",0,$D$35),F62))=0,0,F52/(IF(F62="",IF($D$35="",0,$D$35),F62)))))))*(IF(F62="",IF($D$35="",0,$D$35),F62))))</f>
        <v/>
      </c>
      <c r="N97" s="75" t="str">
        <f aca="false">IF(L97="","",L97+M97)</f>
        <v/>
      </c>
      <c r="O97" s="75" t="str">
        <f aca="false">IF(G52="","",IF(12&gt;IF(G55="",10,G55),"",G52*(1+IF(G53="",0,G53))^ROUNDDOWN((12-1)/IF(G54="",5,G54),0)))</f>
        <v/>
      </c>
      <c r="P97" s="75" t="str">
        <f aca="false">IF(O97="","",IF((IF(G62="",IF($D$35="",0,$D$35),G62))=0,0,MAX(0,3071464.21-(IF(G63&lt;&gt;"",G63,IF($D$37&lt;&gt;"",$D$37,IF((IF(G62="",IF($D$35="",0,$D$35),G62))=0,0,G52/(IF(G62="",IF($D$35="",0,$D$35),G62)))))))*(IF(G62="",IF($D$35="",0,$D$35),G62))))</f>
        <v/>
      </c>
      <c r="Q97" s="75" t="str">
        <f aca="false">IF(O97="","",O97+P97)</f>
        <v/>
      </c>
      <c r="R97" s="75" t="str">
        <f aca="false">IF(H52="","",IF(12&gt;IF(H55="",10,H55),"",H52*(1+IF(H53="",0,H53))^ROUNDDOWN((12-1)/IF(H54="",5,H54),0)))</f>
        <v/>
      </c>
      <c r="S97" s="75" t="str">
        <f aca="false">IF(R97="","",IF((IF(H62="",IF($D$35="",0,$D$35),H62))=0,0,MAX(0,3071464.21-(IF(H63&lt;&gt;"",H63,IF($D$37&lt;&gt;"",$D$37,IF((IF(H62="",IF($D$35="",0,$D$35),H62))=0,0,H52/(IF(H62="",IF($D$35="",0,$D$35),H62)))))))*(IF(H62="",IF($D$35="",0,$D$35),H62))))</f>
        <v/>
      </c>
      <c r="T97" s="75" t="str">
        <f aca="false">IF(R97="","",R97+S97)</f>
        <v/>
      </c>
    </row>
    <row r="98" customFormat="false" ht="15" hidden="false" customHeight="false" outlineLevel="0" collapsed="false">
      <c r="A98" s="74" t="n">
        <v>13</v>
      </c>
      <c r="B98" s="75" t="n">
        <v>3132893</v>
      </c>
      <c r="C98" s="76" t="n">
        <v>197266</v>
      </c>
      <c r="D98" s="76" t="n">
        <v>0</v>
      </c>
      <c r="E98" s="76" t="n">
        <v>197266</v>
      </c>
      <c r="F98" s="75" t="n">
        <f aca="false">IF(D52="","",IF(13&gt;IF(D55="",10,D55),"",D52*(1+IF(D53="",0,D53))^ROUNDDOWN((13-1)/IF(D54="",5,D54),0)))</f>
        <v>205235.5464</v>
      </c>
      <c r="G98" s="75" t="n">
        <f aca="false">IF(F98="","",IF((IF(D62="",IF($D$35="",0,$D$35),D62))=0,0,MAX(0,3132893.49-(IF(D63&lt;&gt;"",D63,IF($D$37&lt;&gt;"",$D$37,IF((IF(D62="",IF($D$35="",0,$D$35),D62))=0,0,D52/(IF(D62="",IF($D$35="",0,$D$35),D62)))))))*(IF(D62="",IF($D$35="",0,$D$35),D62))))</f>
        <v>0</v>
      </c>
      <c r="H98" s="75" t="n">
        <f aca="false">IF(F98="","",F98+G98)</f>
        <v>205235.5464</v>
      </c>
      <c r="I98" s="75" t="str">
        <f aca="false">IF(E52="","",IF(13&gt;IF(E55="",10,E55),"",E52*(1+IF(E53="",0,E53))^ROUNDDOWN((13-1)/IF(E54="",5,E54),0)))</f>
        <v/>
      </c>
      <c r="J98" s="75" t="str">
        <f aca="false">IF(I98="","",IF((IF(E62="",IF($D$35="",0,$D$35),E62))=0,0,MAX(0,3132893.49-(IF(E63&lt;&gt;"",E63,IF($D$37&lt;&gt;"",$D$37,IF((IF(E62="",IF($D$35="",0,$D$35),E62))=0,0,E52/(IF(E62="",IF($D$35="",0,$D$35),E62)))))))*(IF(E62="",IF($D$35="",0,$D$35),E62))))</f>
        <v/>
      </c>
      <c r="K98" s="75" t="str">
        <f aca="false">IF(I98="","",I98+J98)</f>
        <v/>
      </c>
      <c r="L98" s="75" t="str">
        <f aca="false">IF(F52="","",IF(13&gt;IF(F55="",10,F55),"",F52*(1+IF(F53="",0,F53))^ROUNDDOWN((13-1)/IF(F54="",5,F54),0)))</f>
        <v/>
      </c>
      <c r="M98" s="75" t="str">
        <f aca="false">IF(L98="","",IF((IF(F62="",IF($D$35="",0,$D$35),F62))=0,0,MAX(0,3132893.49-(IF(F63&lt;&gt;"",F63,IF($D$37&lt;&gt;"",$D$37,IF((IF(F62="",IF($D$35="",0,$D$35),F62))=0,0,F52/(IF(F62="",IF($D$35="",0,$D$35),F62)))))))*(IF(F62="",IF($D$35="",0,$D$35),F62))))</f>
        <v/>
      </c>
      <c r="N98" s="75" t="str">
        <f aca="false">IF(L98="","",L98+M98)</f>
        <v/>
      </c>
      <c r="O98" s="75" t="str">
        <f aca="false">IF(G52="","",IF(13&gt;IF(G55="",10,G55),"",G52*(1+IF(G53="",0,G53))^ROUNDDOWN((13-1)/IF(G54="",5,G54),0)))</f>
        <v/>
      </c>
      <c r="P98" s="75" t="str">
        <f aca="false">IF(O98="","",IF((IF(G62="",IF($D$35="",0,$D$35),G62))=0,0,MAX(0,3132893.49-(IF(G63&lt;&gt;"",G63,IF($D$37&lt;&gt;"",$D$37,IF((IF(G62="",IF($D$35="",0,$D$35),G62))=0,0,G52/(IF(G62="",IF($D$35="",0,$D$35),G62)))))))*(IF(G62="",IF($D$35="",0,$D$35),G62))))</f>
        <v/>
      </c>
      <c r="Q98" s="75" t="str">
        <f aca="false">IF(O98="","",O98+P98)</f>
        <v/>
      </c>
      <c r="R98" s="75" t="str">
        <f aca="false">IF(H52="","",IF(13&gt;IF(H55="",10,H55),"",H52*(1+IF(H53="",0,H53))^ROUNDDOWN((13-1)/IF(H54="",5,H54),0)))</f>
        <v/>
      </c>
      <c r="S98" s="75" t="str">
        <f aca="false">IF(R98="","",IF((IF(H62="",IF($D$35="",0,$D$35),H62))=0,0,MAX(0,3132893.49-(IF(H63&lt;&gt;"",H63,IF($D$37&lt;&gt;"",$D$37,IF((IF(H62="",IF($D$35="",0,$D$35),H62))=0,0,H52/(IF(H62="",IF($D$35="",0,$D$35),H62)))))))*(IF(H62="",IF($D$35="",0,$D$35),H62))))</f>
        <v/>
      </c>
      <c r="T98" s="75" t="str">
        <f aca="false">IF(R98="","",R98+S98)</f>
        <v/>
      </c>
    </row>
    <row r="99" customFormat="false" ht="15" hidden="false" customHeight="false" outlineLevel="0" collapsed="false">
      <c r="A99" s="74" t="n">
        <v>14</v>
      </c>
      <c r="B99" s="75" t="n">
        <v>3195551</v>
      </c>
      <c r="C99" s="76" t="n">
        <v>197266</v>
      </c>
      <c r="D99" s="76" t="n">
        <v>0</v>
      </c>
      <c r="E99" s="76" t="n">
        <v>197266</v>
      </c>
      <c r="F99" s="75" t="n">
        <f aca="false">IF(D52="","",IF(14&gt;IF(D55="",10,D55),"",D52*(1+IF(D53="",0,D53))^ROUNDDOWN((14-1)/IF(D54="",5,D54),0)))</f>
        <v>205235.5464</v>
      </c>
      <c r="G99" s="75" t="n">
        <f aca="false">IF(F99="","",IF((IF(D62="",IF($D$35="",0,$D$35),D62))=0,0,MAX(0,3195551.36-(IF(D63&lt;&gt;"",D63,IF($D$37&lt;&gt;"",$D$37,IF((IF(D62="",IF($D$35="",0,$D$35),D62))=0,0,D52/(IF(D62="",IF($D$35="",0,$D$35),D62)))))))*(IF(D62="",IF($D$35="",0,$D$35),D62))))</f>
        <v>0</v>
      </c>
      <c r="H99" s="75" t="n">
        <f aca="false">IF(F99="","",F99+G99)</f>
        <v>205235.5464</v>
      </c>
      <c r="I99" s="75" t="str">
        <f aca="false">IF(E52="","",IF(14&gt;IF(E55="",10,E55),"",E52*(1+IF(E53="",0,E53))^ROUNDDOWN((14-1)/IF(E54="",5,E54),0)))</f>
        <v/>
      </c>
      <c r="J99" s="75" t="str">
        <f aca="false">IF(I99="","",IF((IF(E62="",IF($D$35="",0,$D$35),E62))=0,0,MAX(0,3195551.36-(IF(E63&lt;&gt;"",E63,IF($D$37&lt;&gt;"",$D$37,IF((IF(E62="",IF($D$35="",0,$D$35),E62))=0,0,E52/(IF(E62="",IF($D$35="",0,$D$35),E62)))))))*(IF(E62="",IF($D$35="",0,$D$35),E62))))</f>
        <v/>
      </c>
      <c r="K99" s="75" t="str">
        <f aca="false">IF(I99="","",I99+J99)</f>
        <v/>
      </c>
      <c r="L99" s="75" t="str">
        <f aca="false">IF(F52="","",IF(14&gt;IF(F55="",10,F55),"",F52*(1+IF(F53="",0,F53))^ROUNDDOWN((14-1)/IF(F54="",5,F54),0)))</f>
        <v/>
      </c>
      <c r="M99" s="75" t="str">
        <f aca="false">IF(L99="","",IF((IF(F62="",IF($D$35="",0,$D$35),F62))=0,0,MAX(0,3195551.36-(IF(F63&lt;&gt;"",F63,IF($D$37&lt;&gt;"",$D$37,IF((IF(F62="",IF($D$35="",0,$D$35),F62))=0,0,F52/(IF(F62="",IF($D$35="",0,$D$35),F62)))))))*(IF(F62="",IF($D$35="",0,$D$35),F62))))</f>
        <v/>
      </c>
      <c r="N99" s="75" t="str">
        <f aca="false">IF(L99="","",L99+M99)</f>
        <v/>
      </c>
      <c r="O99" s="75" t="str">
        <f aca="false">IF(G52="","",IF(14&gt;IF(G55="",10,G55),"",G52*(1+IF(G53="",0,G53))^ROUNDDOWN((14-1)/IF(G54="",5,G54),0)))</f>
        <v/>
      </c>
      <c r="P99" s="75" t="str">
        <f aca="false">IF(O99="","",IF((IF(G62="",IF($D$35="",0,$D$35),G62))=0,0,MAX(0,3195551.36-(IF(G63&lt;&gt;"",G63,IF($D$37&lt;&gt;"",$D$37,IF((IF(G62="",IF($D$35="",0,$D$35),G62))=0,0,G52/(IF(G62="",IF($D$35="",0,$D$35),G62)))))))*(IF(G62="",IF($D$35="",0,$D$35),G62))))</f>
        <v/>
      </c>
      <c r="Q99" s="75" t="str">
        <f aca="false">IF(O99="","",O99+P99)</f>
        <v/>
      </c>
      <c r="R99" s="75" t="str">
        <f aca="false">IF(H52="","",IF(14&gt;IF(H55="",10,H55),"",H52*(1+IF(H53="",0,H53))^ROUNDDOWN((14-1)/IF(H54="",5,H54),0)))</f>
        <v/>
      </c>
      <c r="S99" s="75" t="str">
        <f aca="false">IF(R99="","",IF((IF(H62="",IF($D$35="",0,$D$35),H62))=0,0,MAX(0,3195551.36-(IF(H63&lt;&gt;"",H63,IF($D$37&lt;&gt;"",$D$37,IF((IF(H62="",IF($D$35="",0,$D$35),H62))=0,0,H52/(IF(H62="",IF($D$35="",0,$D$35),H62)))))))*(IF(H62="",IF($D$35="",0,$D$35),H62))))</f>
        <v/>
      </c>
      <c r="T99" s="75" t="str">
        <f aca="false">IF(R99="","",R99+S99)</f>
        <v/>
      </c>
    </row>
    <row r="100" customFormat="false" ht="15" hidden="false" customHeight="false" outlineLevel="0" collapsed="false">
      <c r="A100" s="74" t="n">
        <v>15</v>
      </c>
      <c r="B100" s="75" t="n">
        <v>3259462</v>
      </c>
      <c r="C100" s="76" t="n">
        <v>197266</v>
      </c>
      <c r="D100" s="76" t="n">
        <v>0</v>
      </c>
      <c r="E100" s="76" t="n">
        <v>197266</v>
      </c>
      <c r="F100" s="75" t="n">
        <f aca="false">IF(D52="","",IF(15&gt;IF(D55="",10,D55),"",D52*(1+IF(D53="",0,D53))^ROUNDDOWN((15-1)/IF(D54="",5,D54),0)))</f>
        <v>205235.5464</v>
      </c>
      <c r="G100" s="75" t="n">
        <f aca="false">IF(F100="","",IF((IF(D62="",IF($D$35="",0,$D$35),D62))=0,0,MAX(0,3259462.39-(IF(D63&lt;&gt;"",D63,IF($D$37&lt;&gt;"",$D$37,IF((IF(D62="",IF($D$35="",0,$D$35),D62))=0,0,D52/(IF(D62="",IF($D$35="",0,$D$35),D62)))))))*(IF(D62="",IF($D$35="",0,$D$35),D62))))</f>
        <v>0</v>
      </c>
      <c r="H100" s="75" t="n">
        <f aca="false">IF(F100="","",F100+G100)</f>
        <v>205235.5464</v>
      </c>
      <c r="I100" s="75" t="str">
        <f aca="false">IF(E52="","",IF(15&gt;IF(E55="",10,E55),"",E52*(1+IF(E53="",0,E53))^ROUNDDOWN((15-1)/IF(E54="",5,E54),0)))</f>
        <v/>
      </c>
      <c r="J100" s="75" t="str">
        <f aca="false">IF(I100="","",IF((IF(E62="",IF($D$35="",0,$D$35),E62))=0,0,MAX(0,3259462.39-(IF(E63&lt;&gt;"",E63,IF($D$37&lt;&gt;"",$D$37,IF((IF(E62="",IF($D$35="",0,$D$35),E62))=0,0,E52/(IF(E62="",IF($D$35="",0,$D$35),E62)))))))*(IF(E62="",IF($D$35="",0,$D$35),E62))))</f>
        <v/>
      </c>
      <c r="K100" s="75" t="str">
        <f aca="false">IF(I100="","",I100+J100)</f>
        <v/>
      </c>
      <c r="L100" s="75" t="str">
        <f aca="false">IF(F52="","",IF(15&gt;IF(F55="",10,F55),"",F52*(1+IF(F53="",0,F53))^ROUNDDOWN((15-1)/IF(F54="",5,F54),0)))</f>
        <v/>
      </c>
      <c r="M100" s="75" t="str">
        <f aca="false">IF(L100="","",IF((IF(F62="",IF($D$35="",0,$D$35),F62))=0,0,MAX(0,3259462.39-(IF(F63&lt;&gt;"",F63,IF($D$37&lt;&gt;"",$D$37,IF((IF(F62="",IF($D$35="",0,$D$35),F62))=0,0,F52/(IF(F62="",IF($D$35="",0,$D$35),F62)))))))*(IF(F62="",IF($D$35="",0,$D$35),F62))))</f>
        <v/>
      </c>
      <c r="N100" s="75" t="str">
        <f aca="false">IF(L100="","",L100+M100)</f>
        <v/>
      </c>
      <c r="O100" s="75" t="str">
        <f aca="false">IF(G52="","",IF(15&gt;IF(G55="",10,G55),"",G52*(1+IF(G53="",0,G53))^ROUNDDOWN((15-1)/IF(G54="",5,G54),0)))</f>
        <v/>
      </c>
      <c r="P100" s="75" t="str">
        <f aca="false">IF(O100="","",IF((IF(G62="",IF($D$35="",0,$D$35),G62))=0,0,MAX(0,3259462.39-(IF(G63&lt;&gt;"",G63,IF($D$37&lt;&gt;"",$D$37,IF((IF(G62="",IF($D$35="",0,$D$35),G62))=0,0,G52/(IF(G62="",IF($D$35="",0,$D$35),G62)))))))*(IF(G62="",IF($D$35="",0,$D$35),G62))))</f>
        <v/>
      </c>
      <c r="Q100" s="75" t="str">
        <f aca="false">IF(O100="","",O100+P100)</f>
        <v/>
      </c>
      <c r="R100" s="75" t="str">
        <f aca="false">IF(H52="","",IF(15&gt;IF(H55="",10,H55),"",H52*(1+IF(H53="",0,H53))^ROUNDDOWN((15-1)/IF(H54="",5,H54),0)))</f>
        <v/>
      </c>
      <c r="S100" s="75" t="str">
        <f aca="false">IF(R100="","",IF((IF(H62="",IF($D$35="",0,$D$35),H62))=0,0,MAX(0,3259462.39-(IF(H63&lt;&gt;"",H63,IF($D$37&lt;&gt;"",$D$37,IF((IF(H62="",IF($D$35="",0,$D$35),H62))=0,0,H52/(IF(H62="",IF($D$35="",0,$D$35),H62)))))))*(IF(H62="",IF($D$35="",0,$D$35),H62))))</f>
        <v/>
      </c>
      <c r="T100" s="75" t="str">
        <f aca="false">IF(R100="","",R100+S100)</f>
        <v/>
      </c>
    </row>
    <row r="101" customFormat="false" ht="15" hidden="false" customHeight="false" outlineLevel="0" collapsed="false">
      <c r="A101" s="74" t="n">
        <v>16</v>
      </c>
      <c r="B101" s="75" t="n">
        <v>3324652</v>
      </c>
      <c r="C101" s="76" t="n">
        <v>197266</v>
      </c>
      <c r="D101" s="76" t="n">
        <v>0</v>
      </c>
      <c r="E101" s="76" t="n">
        <v>197266</v>
      </c>
      <c r="F101" s="75" t="n">
        <f aca="false">IF(D52="","",IF(16&gt;IF(D55="",10,D55),"",D52*(1+IF(D53="",0,D53))^ROUNDDOWN((16-1)/IF(D54="",5,D54),0)))</f>
        <v>209340.257328</v>
      </c>
      <c r="G101" s="75" t="n">
        <f aca="false">IF(F101="","",IF((IF(D62="",IF($D$35="",0,$D$35),D62))=0,0,MAX(0,3324651.64-(IF(D63&lt;&gt;"",D63,IF($D$37&lt;&gt;"",$D$37,IF((IF(D62="",IF($D$35="",0,$D$35),D62))=0,0,D52/(IF(D62="",IF($D$35="",0,$D$35),D62)))))))*(IF(D62="",IF($D$35="",0,$D$35),D62))))</f>
        <v>0</v>
      </c>
      <c r="H101" s="75" t="n">
        <f aca="false">IF(F101="","",F101+G101)</f>
        <v>209340.257328</v>
      </c>
      <c r="I101" s="75" t="str">
        <f aca="false">IF(E52="","",IF(16&gt;IF(E55="",10,E55),"",E52*(1+IF(E53="",0,E53))^ROUNDDOWN((16-1)/IF(E54="",5,E54),0)))</f>
        <v/>
      </c>
      <c r="J101" s="75" t="str">
        <f aca="false">IF(I101="","",IF((IF(E62="",IF($D$35="",0,$D$35),E62))=0,0,MAX(0,3324651.64-(IF(E63&lt;&gt;"",E63,IF($D$37&lt;&gt;"",$D$37,IF((IF(E62="",IF($D$35="",0,$D$35),E62))=0,0,E52/(IF(E62="",IF($D$35="",0,$D$35),E62)))))))*(IF(E62="",IF($D$35="",0,$D$35),E62))))</f>
        <v/>
      </c>
      <c r="K101" s="75" t="str">
        <f aca="false">IF(I101="","",I101+J101)</f>
        <v/>
      </c>
      <c r="L101" s="75" t="str">
        <f aca="false">IF(F52="","",IF(16&gt;IF(F55="",10,F55),"",F52*(1+IF(F53="",0,F53))^ROUNDDOWN((16-1)/IF(F54="",5,F54),0)))</f>
        <v/>
      </c>
      <c r="M101" s="75" t="str">
        <f aca="false">IF(L101="","",IF((IF(F62="",IF($D$35="",0,$D$35),F62))=0,0,MAX(0,3324651.64-(IF(F63&lt;&gt;"",F63,IF($D$37&lt;&gt;"",$D$37,IF((IF(F62="",IF($D$35="",0,$D$35),F62))=0,0,F52/(IF(F62="",IF($D$35="",0,$D$35),F62)))))))*(IF(F62="",IF($D$35="",0,$D$35),F62))))</f>
        <v/>
      </c>
      <c r="N101" s="75" t="str">
        <f aca="false">IF(L101="","",L101+M101)</f>
        <v/>
      </c>
      <c r="O101" s="75" t="str">
        <f aca="false">IF(G52="","",IF(16&gt;IF(G55="",10,G55),"",G52*(1+IF(G53="",0,G53))^ROUNDDOWN((16-1)/IF(G54="",5,G54),0)))</f>
        <v/>
      </c>
      <c r="P101" s="75" t="str">
        <f aca="false">IF(O101="","",IF((IF(G62="",IF($D$35="",0,$D$35),G62))=0,0,MAX(0,3324651.64-(IF(G63&lt;&gt;"",G63,IF($D$37&lt;&gt;"",$D$37,IF((IF(G62="",IF($D$35="",0,$D$35),G62))=0,0,G52/(IF(G62="",IF($D$35="",0,$D$35),G62)))))))*(IF(G62="",IF($D$35="",0,$D$35),G62))))</f>
        <v/>
      </c>
      <c r="Q101" s="75" t="str">
        <f aca="false">IF(O101="","",O101+P101)</f>
        <v/>
      </c>
      <c r="R101" s="75" t="str">
        <f aca="false">IF(H52="","",IF(16&gt;IF(H55="",10,H55),"",H52*(1+IF(H53="",0,H53))^ROUNDDOWN((16-1)/IF(H54="",5,H54),0)))</f>
        <v/>
      </c>
      <c r="S101" s="75" t="str">
        <f aca="false">IF(R101="","",IF((IF(H62="",IF($D$35="",0,$D$35),H62))=0,0,MAX(0,3324651.64-(IF(H63&lt;&gt;"",H63,IF($D$37&lt;&gt;"",$D$37,IF((IF(H62="",IF($D$35="",0,$D$35),H62))=0,0,H52/(IF(H62="",IF($D$35="",0,$D$35),H62)))))))*(IF(H62="",IF($D$35="",0,$D$35),H62))))</f>
        <v/>
      </c>
      <c r="T101" s="75" t="str">
        <f aca="false">IF(R101="","",R101+S101)</f>
        <v/>
      </c>
    </row>
    <row r="102" customFormat="false" ht="15" hidden="false" customHeight="false" outlineLevel="0" collapsed="false">
      <c r="A102" s="74" t="n">
        <v>17</v>
      </c>
      <c r="B102" s="75" t="n">
        <v>3391145</v>
      </c>
      <c r="C102" s="76" t="n">
        <v>197266</v>
      </c>
      <c r="D102" s="76" t="n">
        <v>0</v>
      </c>
      <c r="E102" s="76" t="n">
        <v>197266</v>
      </c>
      <c r="F102" s="75" t="n">
        <f aca="false">IF(D52="","",IF(17&gt;IF(D55="",10,D55),"",D52*(1+IF(D53="",0,D53))^ROUNDDOWN((17-1)/IF(D54="",5,D54),0)))</f>
        <v>209340.257328</v>
      </c>
      <c r="G102" s="75" t="n">
        <f aca="false">IF(F102="","",IF((IF(D62="",IF($D$35="",0,$D$35),D62))=0,0,MAX(0,3391144.67-(IF(D63&lt;&gt;"",D63,IF($D$37&lt;&gt;"",$D$37,IF((IF(D62="",IF($D$35="",0,$D$35),D62))=0,0,D52/(IF(D62="",IF($D$35="",0,$D$35),D62)))))))*(IF(D62="",IF($D$35="",0,$D$35),D62))))</f>
        <v>0</v>
      </c>
      <c r="H102" s="75" t="n">
        <f aca="false">IF(F102="","",F102+G102)</f>
        <v>209340.257328</v>
      </c>
      <c r="I102" s="75" t="str">
        <f aca="false">IF(E52="","",IF(17&gt;IF(E55="",10,E55),"",E52*(1+IF(E53="",0,E53))^ROUNDDOWN((17-1)/IF(E54="",5,E54),0)))</f>
        <v/>
      </c>
      <c r="J102" s="75" t="str">
        <f aca="false">IF(I102="","",IF((IF(E62="",IF($D$35="",0,$D$35),E62))=0,0,MAX(0,3391144.67-(IF(E63&lt;&gt;"",E63,IF($D$37&lt;&gt;"",$D$37,IF((IF(E62="",IF($D$35="",0,$D$35),E62))=0,0,E52/(IF(E62="",IF($D$35="",0,$D$35),E62)))))))*(IF(E62="",IF($D$35="",0,$D$35),E62))))</f>
        <v/>
      </c>
      <c r="K102" s="75" t="str">
        <f aca="false">IF(I102="","",I102+J102)</f>
        <v/>
      </c>
      <c r="L102" s="75" t="str">
        <f aca="false">IF(F52="","",IF(17&gt;IF(F55="",10,F55),"",F52*(1+IF(F53="",0,F53))^ROUNDDOWN((17-1)/IF(F54="",5,F54),0)))</f>
        <v/>
      </c>
      <c r="M102" s="75" t="str">
        <f aca="false">IF(L102="","",IF((IF(F62="",IF($D$35="",0,$D$35),F62))=0,0,MAX(0,3391144.67-(IF(F63&lt;&gt;"",F63,IF($D$37&lt;&gt;"",$D$37,IF((IF(F62="",IF($D$35="",0,$D$35),F62))=0,0,F52/(IF(F62="",IF($D$35="",0,$D$35),F62)))))))*(IF(F62="",IF($D$35="",0,$D$35),F62))))</f>
        <v/>
      </c>
      <c r="N102" s="75" t="str">
        <f aca="false">IF(L102="","",L102+M102)</f>
        <v/>
      </c>
      <c r="O102" s="75" t="str">
        <f aca="false">IF(G52="","",IF(17&gt;IF(G55="",10,G55),"",G52*(1+IF(G53="",0,G53))^ROUNDDOWN((17-1)/IF(G54="",5,G54),0)))</f>
        <v/>
      </c>
      <c r="P102" s="75" t="str">
        <f aca="false">IF(O102="","",IF((IF(G62="",IF($D$35="",0,$D$35),G62))=0,0,MAX(0,3391144.67-(IF(G63&lt;&gt;"",G63,IF($D$37&lt;&gt;"",$D$37,IF((IF(G62="",IF($D$35="",0,$D$35),G62))=0,0,G52/(IF(G62="",IF($D$35="",0,$D$35),G62)))))))*(IF(G62="",IF($D$35="",0,$D$35),G62))))</f>
        <v/>
      </c>
      <c r="Q102" s="75" t="str">
        <f aca="false">IF(O102="","",O102+P102)</f>
        <v/>
      </c>
      <c r="R102" s="75" t="str">
        <f aca="false">IF(H52="","",IF(17&gt;IF(H55="",10,H55),"",H52*(1+IF(H53="",0,H53))^ROUNDDOWN((17-1)/IF(H54="",5,H54),0)))</f>
        <v/>
      </c>
      <c r="S102" s="75" t="str">
        <f aca="false">IF(R102="","",IF((IF(H62="",IF($D$35="",0,$D$35),H62))=0,0,MAX(0,3391144.67-(IF(H63&lt;&gt;"",H63,IF($D$37&lt;&gt;"",$D$37,IF((IF(H62="",IF($D$35="",0,$D$35),H62))=0,0,H52/(IF(H62="",IF($D$35="",0,$D$35),H62)))))))*(IF(H62="",IF($D$35="",0,$D$35),H62))))</f>
        <v/>
      </c>
      <c r="T102" s="75" t="str">
        <f aca="false">IF(R102="","",R102+S102)</f>
        <v/>
      </c>
    </row>
    <row r="103" customFormat="false" ht="15" hidden="false" customHeight="false" outlineLevel="0" collapsed="false">
      <c r="A103" s="74" t="n">
        <v>18</v>
      </c>
      <c r="B103" s="75" t="n">
        <v>3458968</v>
      </c>
      <c r="C103" s="76" t="n">
        <v>197266</v>
      </c>
      <c r="D103" s="76" t="n">
        <v>0</v>
      </c>
      <c r="E103" s="76" t="n">
        <v>197266</v>
      </c>
      <c r="F103" s="75" t="n">
        <f aca="false">IF(D52="","",IF(18&gt;IF(D55="",10,D55),"",D52*(1+IF(D53="",0,D53))^ROUNDDOWN((18-1)/IF(D54="",5,D54),0)))</f>
        <v>209340.257328</v>
      </c>
      <c r="G103" s="75" t="n">
        <f aca="false">IF(F103="","",IF((IF(D62="",IF($D$35="",0,$D$35),D62))=0,0,MAX(0,3458967.57-(IF(D63&lt;&gt;"",D63,IF($D$37&lt;&gt;"",$D$37,IF((IF(D62="",IF($D$35="",0,$D$35),D62))=0,0,D52/(IF(D62="",IF($D$35="",0,$D$35),D62)))))))*(IF(D62="",IF($D$35="",0,$D$35),D62))))</f>
        <v>0</v>
      </c>
      <c r="H103" s="75" t="n">
        <f aca="false">IF(F103="","",F103+G103)</f>
        <v>209340.257328</v>
      </c>
      <c r="I103" s="75" t="str">
        <f aca="false">IF(E52="","",IF(18&gt;IF(E55="",10,E55),"",E52*(1+IF(E53="",0,E53))^ROUNDDOWN((18-1)/IF(E54="",5,E54),0)))</f>
        <v/>
      </c>
      <c r="J103" s="75" t="str">
        <f aca="false">IF(I103="","",IF((IF(E62="",IF($D$35="",0,$D$35),E62))=0,0,MAX(0,3458967.57-(IF(E63&lt;&gt;"",E63,IF($D$37&lt;&gt;"",$D$37,IF((IF(E62="",IF($D$35="",0,$D$35),E62))=0,0,E52/(IF(E62="",IF($D$35="",0,$D$35),E62)))))))*(IF(E62="",IF($D$35="",0,$D$35),E62))))</f>
        <v/>
      </c>
      <c r="K103" s="75" t="str">
        <f aca="false">IF(I103="","",I103+J103)</f>
        <v/>
      </c>
      <c r="L103" s="75" t="str">
        <f aca="false">IF(F52="","",IF(18&gt;IF(F55="",10,F55),"",F52*(1+IF(F53="",0,F53))^ROUNDDOWN((18-1)/IF(F54="",5,F54),0)))</f>
        <v/>
      </c>
      <c r="M103" s="75" t="str">
        <f aca="false">IF(L103="","",IF((IF(F62="",IF($D$35="",0,$D$35),F62))=0,0,MAX(0,3458967.57-(IF(F63&lt;&gt;"",F63,IF($D$37&lt;&gt;"",$D$37,IF((IF(F62="",IF($D$35="",0,$D$35),F62))=0,0,F52/(IF(F62="",IF($D$35="",0,$D$35),F62)))))))*(IF(F62="",IF($D$35="",0,$D$35),F62))))</f>
        <v/>
      </c>
      <c r="N103" s="75" t="str">
        <f aca="false">IF(L103="","",L103+M103)</f>
        <v/>
      </c>
      <c r="O103" s="75" t="str">
        <f aca="false">IF(G52="","",IF(18&gt;IF(G55="",10,G55),"",G52*(1+IF(G53="",0,G53))^ROUNDDOWN((18-1)/IF(G54="",5,G54),0)))</f>
        <v/>
      </c>
      <c r="P103" s="75" t="str">
        <f aca="false">IF(O103="","",IF((IF(G62="",IF($D$35="",0,$D$35),G62))=0,0,MAX(0,3458967.57-(IF(G63&lt;&gt;"",G63,IF($D$37&lt;&gt;"",$D$37,IF((IF(G62="",IF($D$35="",0,$D$35),G62))=0,0,G52/(IF(G62="",IF($D$35="",0,$D$35),G62)))))))*(IF(G62="",IF($D$35="",0,$D$35),G62))))</f>
        <v/>
      </c>
      <c r="Q103" s="75" t="str">
        <f aca="false">IF(O103="","",O103+P103)</f>
        <v/>
      </c>
      <c r="R103" s="75" t="str">
        <f aca="false">IF(H52="","",IF(18&gt;IF(H55="",10,H55),"",H52*(1+IF(H53="",0,H53))^ROUNDDOWN((18-1)/IF(H54="",5,H54),0)))</f>
        <v/>
      </c>
      <c r="S103" s="75" t="str">
        <f aca="false">IF(R103="","",IF((IF(H62="",IF($D$35="",0,$D$35),H62))=0,0,MAX(0,3458967.57-(IF(H63&lt;&gt;"",H63,IF($D$37&lt;&gt;"",$D$37,IF((IF(H62="",IF($D$35="",0,$D$35),H62))=0,0,H52/(IF(H62="",IF($D$35="",0,$D$35),H62)))))))*(IF(H62="",IF($D$35="",0,$D$35),H62))))</f>
        <v/>
      </c>
      <c r="T103" s="75" t="str">
        <f aca="false">IF(R103="","",R103+S103)</f>
        <v/>
      </c>
    </row>
    <row r="104" customFormat="false" ht="15" hidden="false" customHeight="false" outlineLevel="0" collapsed="false">
      <c r="A104" s="74" t="n">
        <v>19</v>
      </c>
      <c r="B104" s="75" t="n">
        <v>3528147</v>
      </c>
      <c r="C104" s="76" t="n">
        <v>197266</v>
      </c>
      <c r="D104" s="76" t="n">
        <v>0</v>
      </c>
      <c r="E104" s="76" t="n">
        <v>197266</v>
      </c>
      <c r="F104" s="75" t="n">
        <f aca="false">IF(D52="","",IF(19&gt;IF(D55="",10,D55),"",D52*(1+IF(D53="",0,D53))^ROUNDDOWN((19-1)/IF(D54="",5,D54),0)))</f>
        <v>209340.257328</v>
      </c>
      <c r="G104" s="75" t="n">
        <f aca="false">IF(F104="","",IF((IF(D62="",IF($D$35="",0,$D$35),D62))=0,0,MAX(0,3528146.92-(IF(D63&lt;&gt;"",D63,IF($D$37&lt;&gt;"",$D$37,IF((IF(D62="",IF($D$35="",0,$D$35),D62))=0,0,D52/(IF(D62="",IF($D$35="",0,$D$35),D62)))))))*(IF(D62="",IF($D$35="",0,$D$35),D62))))</f>
        <v>0</v>
      </c>
      <c r="H104" s="75" t="n">
        <f aca="false">IF(F104="","",F104+G104)</f>
        <v>209340.257328</v>
      </c>
      <c r="I104" s="75" t="str">
        <f aca="false">IF(E52="","",IF(19&gt;IF(E55="",10,E55),"",E52*(1+IF(E53="",0,E53))^ROUNDDOWN((19-1)/IF(E54="",5,E54),0)))</f>
        <v/>
      </c>
      <c r="J104" s="75" t="str">
        <f aca="false">IF(I104="","",IF((IF(E62="",IF($D$35="",0,$D$35),E62))=0,0,MAX(0,3528146.92-(IF(E63&lt;&gt;"",E63,IF($D$37&lt;&gt;"",$D$37,IF((IF(E62="",IF($D$35="",0,$D$35),E62))=0,0,E52/(IF(E62="",IF($D$35="",0,$D$35),E62)))))))*(IF(E62="",IF($D$35="",0,$D$35),E62))))</f>
        <v/>
      </c>
      <c r="K104" s="75" t="str">
        <f aca="false">IF(I104="","",I104+J104)</f>
        <v/>
      </c>
      <c r="L104" s="75" t="str">
        <f aca="false">IF(F52="","",IF(19&gt;IF(F55="",10,F55),"",F52*(1+IF(F53="",0,F53))^ROUNDDOWN((19-1)/IF(F54="",5,F54),0)))</f>
        <v/>
      </c>
      <c r="M104" s="75" t="str">
        <f aca="false">IF(L104="","",IF((IF(F62="",IF($D$35="",0,$D$35),F62))=0,0,MAX(0,3528146.92-(IF(F63&lt;&gt;"",F63,IF($D$37&lt;&gt;"",$D$37,IF((IF(F62="",IF($D$35="",0,$D$35),F62))=0,0,F52/(IF(F62="",IF($D$35="",0,$D$35),F62)))))))*(IF(F62="",IF($D$35="",0,$D$35),F62))))</f>
        <v/>
      </c>
      <c r="N104" s="75" t="str">
        <f aca="false">IF(L104="","",L104+M104)</f>
        <v/>
      </c>
      <c r="O104" s="75" t="str">
        <f aca="false">IF(G52="","",IF(19&gt;IF(G55="",10,G55),"",G52*(1+IF(G53="",0,G53))^ROUNDDOWN((19-1)/IF(G54="",5,G54),0)))</f>
        <v/>
      </c>
      <c r="P104" s="75" t="str">
        <f aca="false">IF(O104="","",IF((IF(G62="",IF($D$35="",0,$D$35),G62))=0,0,MAX(0,3528146.92-(IF(G63&lt;&gt;"",G63,IF($D$37&lt;&gt;"",$D$37,IF((IF(G62="",IF($D$35="",0,$D$35),G62))=0,0,G52/(IF(G62="",IF($D$35="",0,$D$35),G62)))))))*(IF(G62="",IF($D$35="",0,$D$35),G62))))</f>
        <v/>
      </c>
      <c r="Q104" s="75" t="str">
        <f aca="false">IF(O104="","",O104+P104)</f>
        <v/>
      </c>
      <c r="R104" s="75" t="str">
        <f aca="false">IF(H52="","",IF(19&gt;IF(H55="",10,H55),"",H52*(1+IF(H53="",0,H53))^ROUNDDOWN((19-1)/IF(H54="",5,H54),0)))</f>
        <v/>
      </c>
      <c r="S104" s="75" t="str">
        <f aca="false">IF(R104="","",IF((IF(H62="",IF($D$35="",0,$D$35),H62))=0,0,MAX(0,3528146.92-(IF(H63&lt;&gt;"",H63,IF($D$37&lt;&gt;"",$D$37,IF((IF(H62="",IF($D$35="",0,$D$35),H62))=0,0,H52/(IF(H62="",IF($D$35="",0,$D$35),H62)))))))*(IF(H62="",IF($D$35="",0,$D$35),H62))))</f>
        <v/>
      </c>
      <c r="T104" s="75" t="str">
        <f aca="false">IF(R104="","",R104+S104)</f>
        <v/>
      </c>
    </row>
    <row r="105" customFormat="false" ht="15" hidden="false" customHeight="false" outlineLevel="0" collapsed="false">
      <c r="A105" s="74" t="n">
        <v>20</v>
      </c>
      <c r="B105" s="75" t="n">
        <v>3598710</v>
      </c>
      <c r="C105" s="76" t="n">
        <v>197266</v>
      </c>
      <c r="D105" s="76" t="n">
        <v>0</v>
      </c>
      <c r="E105" s="76" t="n">
        <v>197266</v>
      </c>
      <c r="F105" s="75" t="n">
        <f aca="false">IF(D52="","",IF(20&gt;IF(D55="",10,D55),"",D52*(1+IF(D53="",0,D53))^ROUNDDOWN((20-1)/IF(D54="",5,D54),0)))</f>
        <v>209340.257328</v>
      </c>
      <c r="G105" s="75" t="n">
        <f aca="false">IF(F105="","",IF((IF(D62="",IF($D$35="",0,$D$35),D62))=0,0,MAX(0,3598709.86-(IF(D63&lt;&gt;"",D63,IF($D$37&lt;&gt;"",$D$37,IF((IF(D62="",IF($D$35="",0,$D$35),D62))=0,0,D52/(IF(D62="",IF($D$35="",0,$D$35),D62)))))))*(IF(D62="",IF($D$35="",0,$D$35),D62))))</f>
        <v>0</v>
      </c>
      <c r="H105" s="75" t="n">
        <f aca="false">IF(F105="","",F105+G105)</f>
        <v>209340.257328</v>
      </c>
      <c r="I105" s="75" t="str">
        <f aca="false">IF(E52="","",IF(20&gt;IF(E55="",10,E55),"",E52*(1+IF(E53="",0,E53))^ROUNDDOWN((20-1)/IF(E54="",5,E54),0)))</f>
        <v/>
      </c>
      <c r="J105" s="75" t="str">
        <f aca="false">IF(I105="","",IF((IF(E62="",IF($D$35="",0,$D$35),E62))=0,0,MAX(0,3598709.86-(IF(E63&lt;&gt;"",E63,IF($D$37&lt;&gt;"",$D$37,IF((IF(E62="",IF($D$35="",0,$D$35),E62))=0,0,E52/(IF(E62="",IF($D$35="",0,$D$35),E62)))))))*(IF(E62="",IF($D$35="",0,$D$35),E62))))</f>
        <v/>
      </c>
      <c r="K105" s="75" t="str">
        <f aca="false">IF(I105="","",I105+J105)</f>
        <v/>
      </c>
      <c r="L105" s="75" t="str">
        <f aca="false">IF(F52="","",IF(20&gt;IF(F55="",10,F55),"",F52*(1+IF(F53="",0,F53))^ROUNDDOWN((20-1)/IF(F54="",5,F54),0)))</f>
        <v/>
      </c>
      <c r="M105" s="75" t="str">
        <f aca="false">IF(L105="","",IF((IF(F62="",IF($D$35="",0,$D$35),F62))=0,0,MAX(0,3598709.86-(IF(F63&lt;&gt;"",F63,IF($D$37&lt;&gt;"",$D$37,IF((IF(F62="",IF($D$35="",0,$D$35),F62))=0,0,F52/(IF(F62="",IF($D$35="",0,$D$35),F62)))))))*(IF(F62="",IF($D$35="",0,$D$35),F62))))</f>
        <v/>
      </c>
      <c r="N105" s="75" t="str">
        <f aca="false">IF(L105="","",L105+M105)</f>
        <v/>
      </c>
      <c r="O105" s="75" t="str">
        <f aca="false">IF(G52="","",IF(20&gt;IF(G55="",10,G55),"",G52*(1+IF(G53="",0,G53))^ROUNDDOWN((20-1)/IF(G54="",5,G54),0)))</f>
        <v/>
      </c>
      <c r="P105" s="75" t="str">
        <f aca="false">IF(O105="","",IF((IF(G62="",IF($D$35="",0,$D$35),G62))=0,0,MAX(0,3598709.86-(IF(G63&lt;&gt;"",G63,IF($D$37&lt;&gt;"",$D$37,IF((IF(G62="",IF($D$35="",0,$D$35),G62))=0,0,G52/(IF(G62="",IF($D$35="",0,$D$35),G62)))))))*(IF(G62="",IF($D$35="",0,$D$35),G62))))</f>
        <v/>
      </c>
      <c r="Q105" s="75" t="str">
        <f aca="false">IF(O105="","",O105+P105)</f>
        <v/>
      </c>
      <c r="R105" s="75" t="str">
        <f aca="false">IF(H52="","",IF(20&gt;IF(H55="",10,H55),"",H52*(1+IF(H53="",0,H53))^ROUNDDOWN((20-1)/IF(H54="",5,H54),0)))</f>
        <v/>
      </c>
      <c r="S105" s="75" t="str">
        <f aca="false">IF(R105="","",IF((IF(H62="",IF($D$35="",0,$D$35),H62))=0,0,MAX(0,3598709.86-(IF(H63&lt;&gt;"",H63,IF($D$37&lt;&gt;"",$D$37,IF((IF(H62="",IF($D$35="",0,$D$35),H62))=0,0,H52/(IF(H62="",IF($D$35="",0,$D$35),H62)))))))*(IF(H62="",IF($D$35="",0,$D$35),H62))))</f>
        <v/>
      </c>
      <c r="T105" s="75" t="str">
        <f aca="false">IF(R105="","",R105+S105)</f>
        <v/>
      </c>
    </row>
    <row r="106" customFormat="false" ht="15" hidden="false" customHeight="false" outlineLevel="0" collapsed="false">
      <c r="A106" s="77" t="s">
        <v>394</v>
      </c>
      <c r="C106" s="78" t="n">
        <f aca="false">IF(COUNT(C86:C105)=0,"",SUM(C86:C105))</f>
        <v>3945320</v>
      </c>
      <c r="D106" s="78" t="n">
        <f aca="false">IF(COUNT(D86:D105)=0,"",SUM(D86:D105))</f>
        <v>0</v>
      </c>
      <c r="E106" s="78" t="n">
        <f aca="false">IF(COUNT(E86:E105)=0,"",SUM(E86:E105))</f>
        <v>3945320</v>
      </c>
      <c r="F106" s="78" t="n">
        <f aca="false">IF(COUNT(F86:F105)=0,"",SUM(F86:F105))</f>
        <v>4065265.61864</v>
      </c>
      <c r="G106" s="78" t="n">
        <f aca="false">IF(COUNT(G86:G105)=0,"",SUM(G86:G105))</f>
        <v>0</v>
      </c>
      <c r="H106" s="78" t="n">
        <f aca="false">IF(COUNT(H86:H105)=0,"",SUM(H86:H105))</f>
        <v>4065265.61864</v>
      </c>
      <c r="I106" s="78" t="str">
        <f aca="false">IF(COUNT(I86:I105)=0,"",SUM(I86:I105))</f>
        <v/>
      </c>
      <c r="J106" s="78" t="str">
        <f aca="false">IF(COUNT(J86:J105)=0,"",SUM(J86:J105))</f>
        <v/>
      </c>
      <c r="K106" s="78" t="str">
        <f aca="false">IF(COUNT(K86:K105)=0,"",SUM(K86:K105))</f>
        <v/>
      </c>
      <c r="L106" s="78" t="str">
        <f aca="false">IF(COUNT(L86:L105)=0,"",SUM(L86:L105))</f>
        <v/>
      </c>
      <c r="M106" s="78" t="str">
        <f aca="false">IF(COUNT(M86:M105)=0,"",SUM(M86:M105))</f>
        <v/>
      </c>
      <c r="N106" s="78" t="str">
        <f aca="false">IF(COUNT(N86:N105)=0,"",SUM(N86:N105))</f>
        <v/>
      </c>
      <c r="O106" s="78" t="str">
        <f aca="false">IF(COUNT(O86:O105)=0,"",SUM(O86:O105))</f>
        <v/>
      </c>
      <c r="P106" s="78" t="str">
        <f aca="false">IF(COUNT(P86:P105)=0,"",SUM(P86:P105))</f>
        <v/>
      </c>
      <c r="Q106" s="78" t="str">
        <f aca="false">IF(COUNT(Q86:Q105)=0,"",SUM(Q86:Q105))</f>
        <v/>
      </c>
      <c r="R106" s="78" t="str">
        <f aca="false">IF(COUNT(R86:R105)=0,"",SUM(R86:R105))</f>
        <v/>
      </c>
      <c r="S106" s="78" t="str">
        <f aca="false">IF(COUNT(S86:S105)=0,"",SUM(S86:S105))</f>
        <v/>
      </c>
      <c r="T106" s="78" t="str">
        <f aca="false">IF(COUNT(T86:T105)=0,"",SUM(T86:T105))</f>
        <v/>
      </c>
    </row>
    <row r="107" customFormat="false" ht="15" hidden="false" customHeight="false" outlineLevel="0" collapsed="false">
      <c r="A107" s="69" t="s">
        <v>395</v>
      </c>
      <c r="B107" s="69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</row>
  </sheetData>
  <mergeCells count="83">
    <mergeCell ref="A2:J2"/>
    <mergeCell ref="A3:J3"/>
    <mergeCell ref="A4:J4"/>
    <mergeCell ref="A5:J5"/>
    <mergeCell ref="A6:J6"/>
    <mergeCell ref="A7:J7"/>
    <mergeCell ref="A8:J8"/>
    <mergeCell ref="A10:C10"/>
    <mergeCell ref="D10:J10"/>
    <mergeCell ref="A11:C11"/>
    <mergeCell ref="D11:J11"/>
    <mergeCell ref="A12:C12"/>
    <mergeCell ref="D12:J12"/>
    <mergeCell ref="A13:C13"/>
    <mergeCell ref="D13:J13"/>
    <mergeCell ref="A14:C14"/>
    <mergeCell ref="D14:J14"/>
    <mergeCell ref="G17:J17"/>
    <mergeCell ref="G18:J18"/>
    <mergeCell ref="G19:J19"/>
    <mergeCell ref="G20:J20"/>
    <mergeCell ref="A21:D21"/>
    <mergeCell ref="A22:J22"/>
    <mergeCell ref="A25:C25"/>
    <mergeCell ref="A26:C26"/>
    <mergeCell ref="E26:J26"/>
    <mergeCell ref="A27:C27"/>
    <mergeCell ref="E27:J27"/>
    <mergeCell ref="A28:C28"/>
    <mergeCell ref="A29:C29"/>
    <mergeCell ref="A30:C30"/>
    <mergeCell ref="E30:J30"/>
    <mergeCell ref="A31:J31"/>
    <mergeCell ref="A32:J32"/>
    <mergeCell ref="A35:C35"/>
    <mergeCell ref="E35:J35"/>
    <mergeCell ref="A36:C36"/>
    <mergeCell ref="E36:J36"/>
    <mergeCell ref="A37:C37"/>
    <mergeCell ref="E37:J37"/>
    <mergeCell ref="A38:C38"/>
    <mergeCell ref="E38:J38"/>
    <mergeCell ref="A39:C39"/>
    <mergeCell ref="A40:C40"/>
    <mergeCell ref="A41:C41"/>
    <mergeCell ref="A42:C42"/>
    <mergeCell ref="A47:G47"/>
    <mergeCell ref="A50:C50"/>
    <mergeCell ref="A51:C51"/>
    <mergeCell ref="A52:C52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2:C62"/>
    <mergeCell ref="A63:C63"/>
    <mergeCell ref="A64:C64"/>
    <mergeCell ref="A65:C65"/>
    <mergeCell ref="A66:C66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7:J77"/>
    <mergeCell ref="A79:J79"/>
    <mergeCell ref="A83:T83"/>
    <mergeCell ref="C84:E84"/>
    <mergeCell ref="F84:H84"/>
    <mergeCell ref="I84:K84"/>
    <mergeCell ref="L84:N84"/>
    <mergeCell ref="O84:Q84"/>
    <mergeCell ref="R84:T84"/>
    <mergeCell ref="A107:T107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T10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6"/>
    <col collapsed="false" customWidth="true" hidden="false" outlineLevel="0" max="2" min="2" style="0" width="22"/>
    <col collapsed="false" customWidth="true" hidden="false" outlineLevel="0" max="3" min="3" style="0" width="11"/>
    <col collapsed="false" customWidth="true" hidden="false" outlineLevel="0" max="4" min="4" style="0" width="14"/>
    <col collapsed="false" customWidth="true" hidden="false" outlineLevel="0" max="6" min="5" style="0" width="12"/>
    <col collapsed="false" customWidth="true" hidden="false" outlineLevel="0" max="7" min="7" style="0" width="14"/>
    <col collapsed="false" customWidth="true" hidden="false" outlineLevel="0" max="9" min="8" style="0" width="13"/>
    <col collapsed="false" customWidth="true" hidden="false" outlineLevel="0" max="10" min="10" style="0" width="26"/>
  </cols>
  <sheetData>
    <row r="1" customFormat="false" ht="16.15" hidden="false" customHeight="false" outlineLevel="0" collapsed="false">
      <c r="A1" s="3" t="s">
        <v>980</v>
      </c>
    </row>
    <row r="2" customFormat="false" ht="25.5" hidden="false" customHeight="true" outlineLevel="0" collapsed="false">
      <c r="A2" s="12" t="s">
        <v>251</v>
      </c>
      <c r="B2" s="12"/>
      <c r="C2" s="12"/>
      <c r="D2" s="12"/>
      <c r="E2" s="12"/>
      <c r="F2" s="12"/>
      <c r="G2" s="12"/>
      <c r="H2" s="12"/>
      <c r="I2" s="12"/>
      <c r="J2" s="12"/>
    </row>
    <row r="3" customFormat="false" ht="15" hidden="false" customHeight="true" outlineLevel="0" collapsed="false">
      <c r="A3" s="16" t="s">
        <v>981</v>
      </c>
      <c r="B3" s="16"/>
      <c r="C3" s="16"/>
      <c r="D3" s="16"/>
      <c r="E3" s="16"/>
      <c r="F3" s="16"/>
      <c r="G3" s="16"/>
      <c r="H3" s="16"/>
      <c r="I3" s="16"/>
      <c r="J3" s="16"/>
    </row>
    <row r="4" customFormat="false" ht="30" hidden="false" customHeight="true" outlineLevel="0" collapsed="false">
      <c r="A4" s="17" t="s">
        <v>117</v>
      </c>
      <c r="B4" s="17"/>
      <c r="C4" s="17"/>
      <c r="D4" s="17"/>
      <c r="E4" s="17"/>
      <c r="F4" s="17"/>
      <c r="G4" s="17"/>
      <c r="H4" s="17"/>
      <c r="I4" s="17"/>
      <c r="J4" s="17"/>
    </row>
    <row r="5" customFormat="false" ht="15" hidden="false" customHeight="true" outlineLevel="0" collapsed="false">
      <c r="A5" s="18" t="s">
        <v>17</v>
      </c>
      <c r="B5" s="18"/>
      <c r="C5" s="18"/>
      <c r="D5" s="18"/>
      <c r="E5" s="18"/>
      <c r="F5" s="18"/>
      <c r="G5" s="18"/>
      <c r="H5" s="18"/>
      <c r="I5" s="18"/>
      <c r="J5" s="18"/>
    </row>
    <row r="6" customFormat="false" ht="15" hidden="false" customHeight="true" outlineLevel="0" collapsed="false">
      <c r="A6" s="19" t="s">
        <v>118</v>
      </c>
      <c r="B6" s="19"/>
      <c r="C6" s="19"/>
      <c r="D6" s="19"/>
      <c r="E6" s="19"/>
      <c r="F6" s="19"/>
      <c r="G6" s="19"/>
      <c r="H6" s="19"/>
      <c r="I6" s="19"/>
      <c r="J6" s="19"/>
    </row>
    <row r="7" customFormat="false" ht="23.85" hidden="false" customHeight="true" outlineLevel="0" collapsed="false">
      <c r="A7" s="20" t="s">
        <v>982</v>
      </c>
      <c r="B7" s="20"/>
      <c r="C7" s="20"/>
      <c r="D7" s="20"/>
      <c r="E7" s="20"/>
      <c r="F7" s="20"/>
      <c r="G7" s="20"/>
      <c r="H7" s="20"/>
      <c r="I7" s="20"/>
      <c r="J7" s="20"/>
    </row>
    <row r="8" customFormat="false" ht="15" hidden="false" customHeight="true" outlineLevel="0" collapsed="false">
      <c r="A8" s="21" t="s">
        <v>254</v>
      </c>
      <c r="B8" s="21"/>
      <c r="C8" s="21"/>
      <c r="D8" s="21"/>
      <c r="E8" s="21"/>
      <c r="F8" s="21"/>
      <c r="G8" s="21"/>
      <c r="H8" s="21"/>
      <c r="I8" s="21"/>
      <c r="J8" s="21"/>
    </row>
    <row r="10" customFormat="false" ht="15" hidden="false" customHeight="true" outlineLevel="0" collapsed="false">
      <c r="A10" s="22" t="s">
        <v>255</v>
      </c>
      <c r="B10" s="22"/>
      <c r="C10" s="22"/>
      <c r="D10" s="23" t="s">
        <v>983</v>
      </c>
      <c r="E10" s="23"/>
      <c r="F10" s="23"/>
      <c r="G10" s="23"/>
      <c r="H10" s="23"/>
      <c r="I10" s="23"/>
      <c r="J10" s="23"/>
    </row>
    <row r="11" customFormat="false" ht="15" hidden="false" customHeight="true" outlineLevel="0" collapsed="false">
      <c r="A11" s="22" t="s">
        <v>257</v>
      </c>
      <c r="B11" s="22"/>
      <c r="C11" s="22"/>
      <c r="D11" s="86"/>
      <c r="E11" s="86"/>
      <c r="F11" s="86"/>
      <c r="G11" s="86"/>
      <c r="H11" s="86"/>
      <c r="I11" s="86"/>
      <c r="J11" s="86"/>
    </row>
    <row r="12" customFormat="false" ht="15" hidden="false" customHeight="true" outlineLevel="0" collapsed="false">
      <c r="A12" s="22" t="s">
        <v>259</v>
      </c>
      <c r="B12" s="22"/>
      <c r="C12" s="22"/>
      <c r="D12" s="86"/>
      <c r="E12" s="86"/>
      <c r="F12" s="86"/>
      <c r="G12" s="86"/>
      <c r="H12" s="86"/>
      <c r="I12" s="86"/>
      <c r="J12" s="86"/>
    </row>
    <row r="13" customFormat="false" ht="15" hidden="false" customHeight="true" outlineLevel="0" collapsed="false">
      <c r="A13" s="22" t="s">
        <v>261</v>
      </c>
      <c r="B13" s="22"/>
      <c r="C13" s="22"/>
      <c r="D13" s="24" t="n">
        <v>2320220.13</v>
      </c>
      <c r="E13" s="24"/>
      <c r="F13" s="24"/>
      <c r="G13" s="24"/>
      <c r="H13" s="24"/>
      <c r="I13" s="24"/>
      <c r="J13" s="24"/>
    </row>
    <row r="14" customFormat="false" ht="46.25" hidden="false" customHeight="true" outlineLevel="0" collapsed="false">
      <c r="A14" s="22" t="s">
        <v>262</v>
      </c>
      <c r="B14" s="22"/>
      <c r="C14" s="22"/>
      <c r="D14" s="22" t="s">
        <v>984</v>
      </c>
      <c r="E14" s="22"/>
      <c r="F14" s="22"/>
      <c r="G14" s="22"/>
      <c r="H14" s="22"/>
      <c r="I14" s="22"/>
      <c r="J14" s="22"/>
    </row>
    <row r="16" customFormat="false" ht="15" hidden="false" customHeight="false" outlineLevel="0" collapsed="false">
      <c r="A16" s="25" t="s">
        <v>264</v>
      </c>
    </row>
    <row r="17" customFormat="false" ht="22.35" hidden="false" customHeight="true" outlineLevel="0" collapsed="false">
      <c r="A17" s="26" t="s">
        <v>265</v>
      </c>
      <c r="B17" s="26" t="s">
        <v>266</v>
      </c>
      <c r="C17" s="26" t="s">
        <v>267</v>
      </c>
      <c r="D17" s="26" t="s">
        <v>268</v>
      </c>
      <c r="E17" s="26" t="s">
        <v>269</v>
      </c>
      <c r="F17" s="26" t="s">
        <v>270</v>
      </c>
      <c r="G17" s="26" t="s">
        <v>271</v>
      </c>
      <c r="H17" s="26"/>
      <c r="I17" s="26"/>
      <c r="J17" s="26"/>
    </row>
    <row r="18" customFormat="false" ht="23.85" hidden="false" customHeight="true" outlineLevel="0" collapsed="false">
      <c r="A18" s="27" t="s">
        <v>951</v>
      </c>
      <c r="B18" s="28" t="s">
        <v>404</v>
      </c>
      <c r="C18" s="28" t="s">
        <v>985</v>
      </c>
      <c r="D18" s="80" t="n">
        <v>3554.02</v>
      </c>
      <c r="E18" s="30" t="n">
        <f aca="false">IF(D18="","",D18*12)</f>
        <v>42648.24</v>
      </c>
      <c r="F18" s="31" t="n">
        <v>4.3</v>
      </c>
      <c r="G18" s="32" t="s">
        <v>986</v>
      </c>
      <c r="H18" s="32"/>
      <c r="I18" s="32"/>
      <c r="J18" s="32"/>
    </row>
    <row r="19" customFormat="false" ht="35.05" hidden="false" customHeight="true" outlineLevel="0" collapsed="false">
      <c r="A19" s="27" t="s">
        <v>987</v>
      </c>
      <c r="B19" s="28" t="s">
        <v>988</v>
      </c>
      <c r="C19" s="28" t="s">
        <v>444</v>
      </c>
      <c r="D19" s="33"/>
      <c r="E19" s="30" t="str">
        <f aca="false">IF(D19="","",D19*12)</f>
        <v/>
      </c>
      <c r="F19" s="31" t="n">
        <v>5.7</v>
      </c>
      <c r="G19" s="32" t="s">
        <v>989</v>
      </c>
      <c r="H19" s="32"/>
      <c r="I19" s="32"/>
      <c r="J19" s="32"/>
    </row>
    <row r="20" customFormat="false" ht="15" hidden="false" customHeight="false" outlineLevel="0" collapsed="false">
      <c r="A20" s="34" t="s">
        <v>284</v>
      </c>
      <c r="B20" s="34"/>
      <c r="C20" s="34"/>
      <c r="D20" s="34"/>
      <c r="E20" s="35" t="n">
        <f aca="false">IF(SUMPRODUCT(E18:E19,F18:F19)=0,"",SUMPRODUCT(E18:E19,F18:F19))</f>
        <v>183387.432</v>
      </c>
      <c r="F20" s="36"/>
      <c r="G20" s="36"/>
      <c r="H20" s="36"/>
      <c r="I20" s="36"/>
      <c r="J20" s="36"/>
    </row>
    <row r="21" customFormat="false" ht="15" hidden="false" customHeight="false" outlineLevel="0" collapsed="false">
      <c r="A21" s="37" t="s">
        <v>510</v>
      </c>
      <c r="B21" s="37"/>
      <c r="C21" s="37"/>
      <c r="D21" s="37"/>
      <c r="E21" s="37"/>
      <c r="F21" s="37"/>
      <c r="G21" s="37"/>
      <c r="H21" s="37"/>
      <c r="I21" s="37"/>
      <c r="J21" s="37"/>
    </row>
    <row r="23" customFormat="false" ht="15" hidden="false" customHeight="false" outlineLevel="0" collapsed="false">
      <c r="A23" s="25" t="s">
        <v>958</v>
      </c>
    </row>
    <row r="24" customFormat="false" ht="15" hidden="false" customHeight="true" outlineLevel="0" collapsed="false">
      <c r="A24" s="22" t="s">
        <v>287</v>
      </c>
      <c r="B24" s="22"/>
      <c r="C24" s="22"/>
      <c r="D24" s="35" t="n">
        <v>42648.25</v>
      </c>
      <c r="E24" s="36"/>
      <c r="F24" s="36"/>
      <c r="G24" s="36"/>
      <c r="H24" s="36"/>
      <c r="I24" s="36"/>
      <c r="J24" s="36"/>
    </row>
    <row r="25" customFormat="false" ht="15" hidden="false" customHeight="true" outlineLevel="0" collapsed="false">
      <c r="A25" s="22" t="s">
        <v>288</v>
      </c>
      <c r="B25" s="22"/>
      <c r="C25" s="22"/>
      <c r="D25" s="38" t="n">
        <v>0.0183811223118731</v>
      </c>
      <c r="E25" s="39" t="s">
        <v>289</v>
      </c>
      <c r="F25" s="39"/>
      <c r="G25" s="39"/>
      <c r="H25" s="39"/>
      <c r="I25" s="39"/>
      <c r="J25" s="39"/>
    </row>
    <row r="26" customFormat="false" ht="15" hidden="false" customHeight="true" outlineLevel="0" collapsed="false">
      <c r="A26" s="22" t="s">
        <v>990</v>
      </c>
      <c r="B26" s="22"/>
      <c r="C26" s="22"/>
      <c r="D26" s="35" t="n">
        <v>7920</v>
      </c>
      <c r="E26" s="39" t="s">
        <v>291</v>
      </c>
      <c r="F26" s="39"/>
      <c r="G26" s="39"/>
      <c r="H26" s="39"/>
      <c r="I26" s="39"/>
      <c r="J26" s="39"/>
    </row>
    <row r="27" customFormat="false" ht="15" hidden="false" customHeight="true" outlineLevel="0" collapsed="false">
      <c r="A27" s="22" t="s">
        <v>292</v>
      </c>
      <c r="B27" s="22"/>
      <c r="C27" s="22"/>
      <c r="D27" s="35" t="n">
        <v>0</v>
      </c>
      <c r="E27" s="36"/>
      <c r="F27" s="36"/>
      <c r="G27" s="36"/>
      <c r="H27" s="36"/>
      <c r="I27" s="36"/>
      <c r="J27" s="36"/>
    </row>
    <row r="28" customFormat="false" ht="15" hidden="false" customHeight="true" outlineLevel="0" collapsed="false">
      <c r="A28" s="22" t="s">
        <v>293</v>
      </c>
      <c r="B28" s="22"/>
      <c r="C28" s="22"/>
      <c r="D28" s="35" t="n">
        <v>50568.25</v>
      </c>
      <c r="E28" s="36"/>
      <c r="F28" s="36"/>
      <c r="G28" s="36"/>
      <c r="H28" s="36"/>
      <c r="I28" s="36"/>
      <c r="J28" s="36"/>
    </row>
    <row r="29" customFormat="false" ht="15" hidden="false" customHeight="true" outlineLevel="0" collapsed="false">
      <c r="A29" s="22" t="s">
        <v>294</v>
      </c>
      <c r="B29" s="22"/>
      <c r="C29" s="22"/>
      <c r="D29" s="38" t="n">
        <v>0.0217945915330025</v>
      </c>
      <c r="E29" s="39" t="s">
        <v>295</v>
      </c>
      <c r="F29" s="39"/>
      <c r="G29" s="39"/>
      <c r="H29" s="39"/>
      <c r="I29" s="39"/>
      <c r="J29" s="39"/>
    </row>
    <row r="30" customFormat="false" ht="27.75" hidden="false" customHeight="true" outlineLevel="0" collapsed="false">
      <c r="A30" s="40" t="s">
        <v>991</v>
      </c>
      <c r="B30" s="40"/>
      <c r="C30" s="40"/>
      <c r="D30" s="40"/>
      <c r="E30" s="40"/>
      <c r="F30" s="40"/>
      <c r="G30" s="40"/>
      <c r="H30" s="40"/>
      <c r="I30" s="40"/>
      <c r="J30" s="40"/>
    </row>
    <row r="31" customFormat="false" ht="15" hidden="false" customHeight="false" outlineLevel="0" collapsed="false">
      <c r="A31" s="41" t="s">
        <v>992</v>
      </c>
      <c r="B31" s="41"/>
      <c r="C31" s="41"/>
      <c r="D31" s="41"/>
      <c r="E31" s="41"/>
      <c r="F31" s="41"/>
      <c r="G31" s="41"/>
      <c r="H31" s="41"/>
      <c r="I31" s="41"/>
      <c r="J31" s="41"/>
    </row>
    <row r="33" customFormat="false" ht="15" hidden="false" customHeight="false" outlineLevel="0" collapsed="false">
      <c r="A33" s="25" t="s">
        <v>298</v>
      </c>
    </row>
    <row r="34" customFormat="false" ht="15" hidden="false" customHeight="true" outlineLevel="0" collapsed="false">
      <c r="A34" s="22" t="s">
        <v>299</v>
      </c>
      <c r="B34" s="22"/>
      <c r="C34" s="22"/>
      <c r="D34" s="42" t="n">
        <v>0</v>
      </c>
      <c r="E34" s="43" t="s">
        <v>300</v>
      </c>
      <c r="F34" s="43"/>
      <c r="G34" s="43"/>
      <c r="H34" s="43"/>
      <c r="I34" s="43"/>
      <c r="J34" s="43"/>
    </row>
    <row r="35" customFormat="false" ht="15" hidden="false" customHeight="true" outlineLevel="0" collapsed="false">
      <c r="A35" s="22" t="s">
        <v>301</v>
      </c>
      <c r="B35" s="22"/>
      <c r="C35" s="22"/>
      <c r="D35" s="34" t="s">
        <v>302</v>
      </c>
      <c r="E35" s="43" t="s">
        <v>303</v>
      </c>
      <c r="F35" s="43"/>
      <c r="G35" s="43"/>
      <c r="H35" s="43"/>
      <c r="I35" s="43"/>
      <c r="J35" s="43"/>
    </row>
    <row r="36" customFormat="false" ht="15" hidden="false" customHeight="true" outlineLevel="0" collapsed="false">
      <c r="A36" s="22" t="s">
        <v>304</v>
      </c>
      <c r="B36" s="22"/>
      <c r="C36" s="22"/>
      <c r="D36" s="44"/>
      <c r="E36" s="43" t="s">
        <v>305</v>
      </c>
      <c r="F36" s="43"/>
      <c r="G36" s="43"/>
      <c r="H36" s="43"/>
      <c r="I36" s="43"/>
      <c r="J36" s="43"/>
    </row>
    <row r="37" customFormat="false" ht="23.85" hidden="false" customHeight="true" outlineLevel="0" collapsed="false">
      <c r="A37" s="22" t="s">
        <v>306</v>
      </c>
      <c r="B37" s="22"/>
      <c r="C37" s="22"/>
      <c r="D37" s="45" t="str">
        <f aca="false">IF(OR($D$34="",E18=""),"",IF($D$34=0,"— (no % rent)",E18/$D$34))</f>
        <v>— (no % rent)</v>
      </c>
      <c r="E37" s="43" t="s">
        <v>307</v>
      </c>
      <c r="F37" s="43"/>
      <c r="G37" s="43"/>
      <c r="H37" s="43"/>
      <c r="I37" s="43"/>
      <c r="J37" s="43"/>
    </row>
    <row r="38" customFormat="false" ht="23.85" hidden="false" customHeight="true" outlineLevel="0" collapsed="false">
      <c r="A38" s="22" t="s">
        <v>308</v>
      </c>
      <c r="B38" s="22"/>
      <c r="C38" s="22"/>
      <c r="D38" s="45" t="str">
        <f aca="false">IF($D$34="","",IF($D$34=0,"— (no % rent)",IF($D$36&lt;&gt;"",$D$36,IF(E18="","",E18/$D$34))))</f>
        <v>— (no % rent)</v>
      </c>
      <c r="E38" s="36"/>
      <c r="F38" s="36"/>
      <c r="G38" s="36"/>
      <c r="H38" s="36"/>
      <c r="I38" s="36"/>
      <c r="J38" s="36"/>
    </row>
    <row r="39" customFormat="false" ht="15" hidden="false" customHeight="true" outlineLevel="0" collapsed="false">
      <c r="A39" s="22" t="s">
        <v>309</v>
      </c>
      <c r="B39" s="22"/>
      <c r="C39" s="22"/>
      <c r="D39" s="45" t="n">
        <f aca="false">IF(OR($D$34="",D13=""),"",IF($D$34=0,0,IF($D$38="","",MAX(0,D13-$D$38)*$D$34)))</f>
        <v>0</v>
      </c>
      <c r="E39" s="36"/>
      <c r="F39" s="36"/>
      <c r="G39" s="36"/>
      <c r="H39" s="36"/>
      <c r="I39" s="36"/>
      <c r="J39" s="36"/>
    </row>
    <row r="40" customFormat="false" ht="15" hidden="false" customHeight="true" outlineLevel="0" collapsed="false">
      <c r="A40" s="22" t="s">
        <v>310</v>
      </c>
      <c r="B40" s="22"/>
      <c r="C40" s="22"/>
      <c r="D40" s="45" t="n">
        <f aca="false">IF(OR(D39="",E18=""),"",E18+D39)</f>
        <v>42648.24</v>
      </c>
      <c r="E40" s="36"/>
      <c r="F40" s="36"/>
      <c r="G40" s="36"/>
      <c r="H40" s="36"/>
      <c r="I40" s="36"/>
      <c r="J40" s="36"/>
    </row>
    <row r="41" customFormat="false" ht="15" hidden="false" customHeight="true" outlineLevel="0" collapsed="false">
      <c r="A41" s="22" t="s">
        <v>311</v>
      </c>
      <c r="B41" s="22"/>
      <c r="C41" s="22"/>
      <c r="D41" s="46" t="n">
        <f aca="false">IF(OR(D40="",D13=""),"",D40/D13)</f>
        <v>0.0183811180019372</v>
      </c>
      <c r="E41" s="36"/>
      <c r="F41" s="36"/>
      <c r="G41" s="36"/>
      <c r="H41" s="36"/>
      <c r="I41" s="36"/>
      <c r="J41" s="36"/>
    </row>
    <row r="43" customFormat="false" ht="15" hidden="false" customHeight="false" outlineLevel="0" collapsed="false">
      <c r="A43" s="25" t="s">
        <v>312</v>
      </c>
    </row>
    <row r="44" customFormat="false" ht="22.35" hidden="false" customHeight="false" outlineLevel="0" collapsed="false">
      <c r="A44" s="26" t="s">
        <v>313</v>
      </c>
      <c r="B44" s="26" t="s">
        <v>314</v>
      </c>
      <c r="C44" s="26" t="s">
        <v>315</v>
      </c>
      <c r="D44" s="26" t="s">
        <v>316</v>
      </c>
      <c r="E44" s="26" t="s">
        <v>317</v>
      </c>
      <c r="F44" s="26" t="s">
        <v>318</v>
      </c>
      <c r="G44" s="26" t="s">
        <v>319</v>
      </c>
      <c r="H44" s="26" t="s">
        <v>269</v>
      </c>
      <c r="I44" s="26" t="s">
        <v>320</v>
      </c>
      <c r="J44" s="26" t="s">
        <v>321</v>
      </c>
    </row>
    <row r="45" customFormat="false" ht="53.7" hidden="false" customHeight="false" outlineLevel="0" collapsed="false">
      <c r="A45" s="48"/>
      <c r="B45" s="47" t="s">
        <v>962</v>
      </c>
      <c r="C45" s="48"/>
      <c r="D45" s="48"/>
      <c r="E45" s="48"/>
      <c r="F45" s="48"/>
      <c r="G45" s="48"/>
      <c r="H45" s="48"/>
      <c r="I45" s="48"/>
      <c r="J45" s="47" t="s">
        <v>423</v>
      </c>
    </row>
    <row r="46" customFormat="false" ht="15" hidden="false" customHeight="false" outlineLevel="0" collapsed="false">
      <c r="A46" s="52" t="s">
        <v>344</v>
      </c>
      <c r="B46" s="52"/>
      <c r="C46" s="52"/>
      <c r="D46" s="52"/>
      <c r="E46" s="52"/>
      <c r="F46" s="52"/>
      <c r="G46" s="52"/>
      <c r="H46" s="53" t="str">
        <f aca="false">IF(COUNT(H45:H45)=0,"",AVERAGE(H45:H45))</f>
        <v/>
      </c>
      <c r="I46" s="52" t="str">
        <f aca="false">IF(COUNT(H45:H45)=0,"",TEXT(MIN(H45:H45),"$#,##0")&amp;" – "&amp;TEXT(MAX(H45:H45),"$#,##0"))</f>
        <v/>
      </c>
      <c r="J46" s="36"/>
    </row>
    <row r="48" customFormat="false" ht="15" hidden="false" customHeight="false" outlineLevel="0" collapsed="false">
      <c r="A48" s="25" t="s">
        <v>345</v>
      </c>
    </row>
    <row r="49" customFormat="false" ht="53.7" hidden="false" customHeight="true" outlineLevel="0" collapsed="false">
      <c r="A49" s="26" t="s">
        <v>346</v>
      </c>
      <c r="B49" s="26"/>
      <c r="C49" s="26"/>
      <c r="D49" s="26" t="s">
        <v>347</v>
      </c>
      <c r="E49" s="26" t="s">
        <v>348</v>
      </c>
      <c r="F49" s="26" t="s">
        <v>349</v>
      </c>
      <c r="G49" s="26" t="s">
        <v>350</v>
      </c>
      <c r="H49" s="54" t="s">
        <v>351</v>
      </c>
    </row>
    <row r="50" customFormat="false" ht="68.65" hidden="false" customHeight="true" outlineLevel="0" collapsed="false">
      <c r="A50" s="22" t="s">
        <v>352</v>
      </c>
      <c r="B50" s="22"/>
      <c r="C50" s="22"/>
      <c r="D50" s="55" t="s">
        <v>353</v>
      </c>
      <c r="E50" s="56"/>
      <c r="F50" s="56"/>
      <c r="G50" s="56"/>
      <c r="H50" s="56"/>
    </row>
    <row r="51" customFormat="false" ht="15" hidden="false" customHeight="true" outlineLevel="0" collapsed="false">
      <c r="A51" s="22" t="s">
        <v>354</v>
      </c>
      <c r="B51" s="22"/>
      <c r="C51" s="22"/>
      <c r="D51" s="57" t="n">
        <v>42648</v>
      </c>
      <c r="E51" s="57"/>
      <c r="F51" s="57"/>
      <c r="G51" s="57"/>
      <c r="H51" s="57"/>
    </row>
    <row r="52" customFormat="false" ht="15" hidden="false" customHeight="true" outlineLevel="0" collapsed="false">
      <c r="A52" s="22" t="s">
        <v>355</v>
      </c>
      <c r="B52" s="22"/>
      <c r="C52" s="22"/>
      <c r="D52" s="58" t="n">
        <v>0.02</v>
      </c>
      <c r="E52" s="58"/>
      <c r="F52" s="58"/>
      <c r="G52" s="58"/>
      <c r="H52" s="58"/>
    </row>
    <row r="53" customFormat="false" ht="15" hidden="false" customHeight="true" outlineLevel="0" collapsed="false">
      <c r="A53" s="22" t="s">
        <v>356</v>
      </c>
      <c r="B53" s="22"/>
      <c r="C53" s="22"/>
      <c r="D53" s="56" t="n">
        <v>5</v>
      </c>
      <c r="E53" s="56"/>
      <c r="F53" s="56"/>
      <c r="G53" s="56"/>
      <c r="H53" s="56"/>
    </row>
    <row r="54" customFormat="false" ht="15" hidden="false" customHeight="true" outlineLevel="0" collapsed="false">
      <c r="A54" s="22" t="s">
        <v>357</v>
      </c>
      <c r="B54" s="22"/>
      <c r="C54" s="22"/>
      <c r="D54" s="59" t="n">
        <v>20</v>
      </c>
      <c r="E54" s="59"/>
      <c r="F54" s="59"/>
      <c r="G54" s="59"/>
      <c r="H54" s="59"/>
    </row>
    <row r="55" customFormat="false" ht="15" hidden="false" customHeight="true" outlineLevel="0" collapsed="false">
      <c r="A55" s="22" t="s">
        <v>358</v>
      </c>
      <c r="B55" s="22"/>
      <c r="C55" s="22"/>
      <c r="D55" s="60" t="n">
        <f aca="false">IF(OR(D51="",E18=""),"",D51-E18)</f>
        <v>-0.239999999997963</v>
      </c>
      <c r="E55" s="60" t="str">
        <f aca="false">IF(OR(E51="",E18=""),"",E51-E18)</f>
        <v/>
      </c>
      <c r="F55" s="60" t="str">
        <f aca="false">IF(OR(F51="",E18=""),"",F51-E18)</f>
        <v/>
      </c>
      <c r="G55" s="60" t="str">
        <f aca="false">IF(OR(G51="",E18=""),"",G51-E18)</f>
        <v/>
      </c>
      <c r="H55" s="60" t="str">
        <f aca="false">IF(OR(H51="",E18=""),"",H51-E18)</f>
        <v/>
      </c>
    </row>
    <row r="56" customFormat="false" ht="15" hidden="false" customHeight="true" outlineLevel="0" collapsed="false">
      <c r="A56" s="22" t="s">
        <v>359</v>
      </c>
      <c r="B56" s="22"/>
      <c r="C56" s="22"/>
      <c r="D56" s="61" t="n">
        <f aca="false">IF(OR(D51="",E18=""),"",(D51-E18)/E18)</f>
        <v>-5.62743034643312E-006</v>
      </c>
      <c r="E56" s="61" t="str">
        <f aca="false">IF(OR(E51="",E18=""),"",(E51-E18)/E18)</f>
        <v/>
      </c>
      <c r="F56" s="61" t="str">
        <f aca="false">IF(OR(F51="",E18=""),"",(F51-E18)/E18)</f>
        <v/>
      </c>
      <c r="G56" s="61" t="str">
        <f aca="false">IF(OR(G51="",E18=""),"",(G51-E18)/E18)</f>
        <v/>
      </c>
      <c r="H56" s="61" t="str">
        <f aca="false">IF(OR(H51="",E18=""),"",(H51-E18)/E18)</f>
        <v/>
      </c>
    </row>
    <row r="57" customFormat="false" ht="15" hidden="false" customHeight="true" outlineLevel="0" collapsed="false">
      <c r="A57" s="22" t="s">
        <v>360</v>
      </c>
      <c r="B57" s="22"/>
      <c r="C57" s="22"/>
      <c r="D57" s="62" t="n">
        <f aca="false">IF(OR(D51="",D13=""),"",D51/D13)</f>
        <v>0.0183810145634759</v>
      </c>
      <c r="E57" s="62" t="str">
        <f aca="false">IF(OR(E51="",D13=""),"",E51/D13)</f>
        <v/>
      </c>
      <c r="F57" s="62" t="str">
        <f aca="false">IF(OR(F51="",D13=""),"",F51/D13)</f>
        <v/>
      </c>
      <c r="G57" s="62" t="str">
        <f aca="false">IF(OR(G51="",D13=""),"",G51/D13)</f>
        <v/>
      </c>
      <c r="H57" s="62" t="str">
        <f aca="false">IF(OR(H51="",D13=""),"",H51/D13)</f>
        <v/>
      </c>
    </row>
    <row r="58" customFormat="false" ht="15" hidden="false" customHeight="true" outlineLevel="0" collapsed="false">
      <c r="A58" s="22" t="s">
        <v>361</v>
      </c>
      <c r="B58" s="22"/>
      <c r="C58" s="22"/>
      <c r="D58" s="61" t="str">
        <f aca="false">IF(OR(D51="",H46=""),"",(D51-H46)/H46)</f>
        <v/>
      </c>
      <c r="E58" s="61" t="str">
        <f aca="false">IF(OR(E51="",H46=""),"",(E51-H46)/H46)</f>
        <v/>
      </c>
      <c r="F58" s="61" t="str">
        <f aca="false">IF(OR(F51="",H46=""),"",(F51-H46)/H46)</f>
        <v/>
      </c>
      <c r="G58" s="61" t="str">
        <f aca="false">IF(OR(G51="",H46=""),"",(G51-H46)/H46)</f>
        <v/>
      </c>
      <c r="H58" s="61" t="str">
        <f aca="false">IF(OR(H51="",H46=""),"",(H51-H46)/H46)</f>
        <v/>
      </c>
    </row>
    <row r="59" customFormat="false" ht="15" hidden="false" customHeight="true" outlineLevel="0" collapsed="false">
      <c r="A59" s="22" t="s">
        <v>362</v>
      </c>
      <c r="B59" s="22"/>
      <c r="C59" s="22"/>
      <c r="D59" s="63" t="n">
        <f aca="true">IF(D51="","",SUMPRODUCT(D51*(1+IF(D52="",0,D52))^ROUNDDOWN((ROW(INDIRECT("1:10"))-1)/IF(D53="",5,D53),0)))</f>
        <v>430744.8</v>
      </c>
      <c r="E59" s="63" t="str">
        <f aca="true">IF(E51="","",SUMPRODUCT(E51*(1+IF(E52="",0,E52))^ROUNDDOWN((ROW(INDIRECT("1:10"))-1)/IF(E53="",5,E53),0)))</f>
        <v/>
      </c>
      <c r="F59" s="63" t="str">
        <f aca="true">IF(F51="","",SUMPRODUCT(F51*(1+IF(F52="",0,F52))^ROUNDDOWN((ROW(INDIRECT("1:10"))-1)/IF(F53="",5,F53),0)))</f>
        <v/>
      </c>
      <c r="G59" s="63" t="str">
        <f aca="true">IF(G51="","",SUMPRODUCT(G51*(1+IF(G52="",0,G52))^ROUNDDOWN((ROW(INDIRECT("1:10"))-1)/IF(G53="",5,G53),0)))</f>
        <v/>
      </c>
      <c r="H59" s="63" t="str">
        <f aca="true">IF(H51="","",SUMPRODUCT(H51*(1+IF(H52="",0,H52))^ROUNDDOWN((ROW(INDIRECT("1:10"))-1)/IF(H53="",5,H53),0)))</f>
        <v/>
      </c>
    </row>
    <row r="60" customFormat="false" ht="15" hidden="false" customHeight="true" outlineLevel="0" collapsed="false">
      <c r="A60" s="22" t="s">
        <v>363</v>
      </c>
      <c r="B60" s="22"/>
      <c r="C60" s="22"/>
      <c r="D60" s="60" t="n">
        <f aca="false">IF(OR(D59="",E20=""),"",D59-E20)</f>
        <v>247357.368</v>
      </c>
      <c r="E60" s="60" t="str">
        <f aca="false">IF(OR(E59="",E20=""),"",E59-E20)</f>
        <v/>
      </c>
      <c r="F60" s="60" t="str">
        <f aca="false">IF(OR(F59="",E20=""),"",F59-E20)</f>
        <v/>
      </c>
      <c r="G60" s="60" t="str">
        <f aca="false">IF(OR(G59="",E20=""),"",G59-E20)</f>
        <v/>
      </c>
      <c r="H60" s="60" t="str">
        <f aca="false">IF(OR(H59="",E20=""),"",H59-E20)</f>
        <v/>
      </c>
    </row>
    <row r="61" customFormat="false" ht="23.85" hidden="false" customHeight="true" outlineLevel="0" collapsed="false">
      <c r="A61" s="22" t="s">
        <v>364</v>
      </c>
      <c r="B61" s="22"/>
      <c r="C61" s="22"/>
      <c r="D61" s="58"/>
      <c r="E61" s="58"/>
      <c r="F61" s="58"/>
      <c r="G61" s="58"/>
      <c r="H61" s="58"/>
    </row>
    <row r="62" customFormat="false" ht="23.85" hidden="false" customHeight="true" outlineLevel="0" collapsed="false">
      <c r="A62" s="22" t="s">
        <v>365</v>
      </c>
      <c r="B62" s="22"/>
      <c r="C62" s="22"/>
      <c r="D62" s="57"/>
      <c r="E62" s="57"/>
      <c r="F62" s="57"/>
      <c r="G62" s="57"/>
      <c r="H62" s="57"/>
    </row>
    <row r="63" customFormat="false" ht="15" hidden="false" customHeight="true" outlineLevel="0" collapsed="false">
      <c r="A63" s="22" t="s">
        <v>366</v>
      </c>
      <c r="B63" s="22"/>
      <c r="C63" s="22"/>
      <c r="D63" s="63" t="str">
        <f aca="false">IF(OR(D51="",AND(D61="",$D$34="")),"",IF(IF(D61="",IF($D$34="",0,$D$34),D61)=0,"— (% rent removed)",IF(D62&lt;&gt;"",D62,IF($D$36&lt;&gt;"",$D$36,D51/IF(D61="",IF($D$34="",0,$D$34),D61)))))</f>
        <v>— (% rent removed)</v>
      </c>
      <c r="E63" s="63" t="str">
        <f aca="false">IF(OR(E51="",AND(E61="",$D$34="")),"",IF(IF(E61="",IF($D$34="",0,$D$34),E61)=0,"— (% rent removed)",IF(E62&lt;&gt;"",E62,IF($D$36&lt;&gt;"",$D$36,E51/IF(E61="",IF($D$34="",0,$D$34),E61)))))</f>
        <v/>
      </c>
      <c r="F63" s="63" t="str">
        <f aca="false">IF(OR(F51="",AND(F61="",$D$34="")),"",IF(IF(F61="",IF($D$34="",0,$D$34),F61)=0,"— (% rent removed)",IF(F62&lt;&gt;"",F62,IF($D$36&lt;&gt;"",$D$36,F51/IF(F61="",IF($D$34="",0,$D$34),F61)))))</f>
        <v/>
      </c>
      <c r="G63" s="63" t="str">
        <f aca="false">IF(OR(G51="",AND(G61="",$D$34="")),"",IF(IF(G61="",IF($D$34="",0,$D$34),G61)=0,"— (% rent removed)",IF(G62&lt;&gt;"",G62,IF($D$36&lt;&gt;"",$D$36,G51/IF(G61="",IF($D$34="",0,$D$34),G61)))))</f>
        <v/>
      </c>
      <c r="H63" s="63" t="str">
        <f aca="false">IF(OR(H51="",AND(H61="",$D$34="")),"",IF(IF(H61="",IF($D$34="",0,$D$34),H61)=0,"— (% rent removed)",IF(H62&lt;&gt;"",H62,IF($D$36&lt;&gt;"",$D$36,H51/IF(H61="",IF($D$34="",0,$D$34),H61)))))</f>
        <v/>
      </c>
    </row>
    <row r="64" customFormat="false" ht="15" hidden="false" customHeight="true" outlineLevel="0" collapsed="false">
      <c r="A64" s="22" t="s">
        <v>367</v>
      </c>
      <c r="B64" s="22"/>
      <c r="C64" s="22"/>
      <c r="D64" s="63" t="n">
        <f aca="false">IF(OR(D51="",AND(D61="",$D$34=""),D13=""),"",IF(IF(D61="",IF($D$34="",0,$D$34),D61)=0,0,MAX(0,D13-D63)*IF(D61="",IF($D$34="",0,$D$34),D61)))</f>
        <v>0</v>
      </c>
      <c r="E64" s="63" t="str">
        <f aca="false">IF(OR(E51="",AND(E61="",$D$34=""),D13=""),"",IF(IF(E61="",IF($D$34="",0,$D$34),E61)=0,0,MAX(0,D13-E63)*IF(E61="",IF($D$34="",0,$D$34),E61)))</f>
        <v/>
      </c>
      <c r="F64" s="63" t="str">
        <f aca="false">IF(OR(F51="",AND(F61="",$D$34=""),D13=""),"",IF(IF(F61="",IF($D$34="",0,$D$34),F61)=0,0,MAX(0,D13-F63)*IF(F61="",IF($D$34="",0,$D$34),F61)))</f>
        <v/>
      </c>
      <c r="G64" s="63" t="str">
        <f aca="false">IF(OR(G51="",AND(G61="",$D$34=""),D13=""),"",IF(IF(G61="",IF($D$34="",0,$D$34),G61)=0,0,MAX(0,D13-G63)*IF(G61="",IF($D$34="",0,$D$34),G61)))</f>
        <v/>
      </c>
      <c r="H64" s="63" t="str">
        <f aca="false">IF(OR(H51="",AND(H61="",$D$34=""),D13=""),"",IF(IF(H61="",IF($D$34="",0,$D$34),H61)=0,0,MAX(0,D13-H63)*IF(H61="",IF($D$34="",0,$D$34),H61)))</f>
        <v/>
      </c>
    </row>
    <row r="65" customFormat="false" ht="15" hidden="false" customHeight="true" outlineLevel="0" collapsed="false">
      <c r="A65" s="22" t="s">
        <v>368</v>
      </c>
      <c r="B65" s="22"/>
      <c r="C65" s="22"/>
      <c r="D65" s="63" t="n">
        <f aca="false">IF(OR(D51="",D64=""),"",D51+D64)</f>
        <v>42648</v>
      </c>
      <c r="E65" s="63" t="str">
        <f aca="false">IF(OR(E51="",E64=""),"",E51+E64)</f>
        <v/>
      </c>
      <c r="F65" s="63" t="str">
        <f aca="false">IF(OR(F51="",F64=""),"",F51+F64)</f>
        <v/>
      </c>
      <c r="G65" s="63" t="str">
        <f aca="false">IF(OR(G51="",G64=""),"",G51+G64)</f>
        <v/>
      </c>
      <c r="H65" s="63" t="str">
        <f aca="false">IF(OR(H51="",H64=""),"",H51+H64)</f>
        <v/>
      </c>
    </row>
    <row r="66" customFormat="false" ht="15" hidden="false" customHeight="true" outlineLevel="0" collapsed="false">
      <c r="A66" s="22" t="s">
        <v>369</v>
      </c>
      <c r="B66" s="22"/>
      <c r="C66" s="22"/>
      <c r="D66" s="62" t="n">
        <f aca="false">IF(OR(D65="",D13=""),"",D65/D13)</f>
        <v>0.0183810145634759</v>
      </c>
      <c r="E66" s="62" t="str">
        <f aca="false">IF(OR(E65="",D13=""),"",E65/D13)</f>
        <v/>
      </c>
      <c r="F66" s="62" t="str">
        <f aca="false">IF(OR(F65="",D13=""),"",F65/D13)</f>
        <v/>
      </c>
      <c r="G66" s="62" t="str">
        <f aca="false">IF(OR(G65="",D13=""),"",G65/D13)</f>
        <v/>
      </c>
      <c r="H66" s="62" t="str">
        <f aca="false">IF(OR(H65="",D13=""),"",H65/D13)</f>
        <v/>
      </c>
    </row>
    <row r="67" customFormat="false" ht="23.85" hidden="false" customHeight="true" outlineLevel="0" collapsed="false">
      <c r="A67" s="22" t="s">
        <v>370</v>
      </c>
      <c r="B67" s="22"/>
      <c r="C67" s="22"/>
      <c r="D67" s="64" t="n">
        <f aca="false">IF(D65="","",(772144.36-D65)/2320220.13)</f>
        <v>0.314408254013381</v>
      </c>
      <c r="E67" s="64" t="str">
        <f aca="false">IF(E65="","",(772144.36-E65)/2320220.13)</f>
        <v/>
      </c>
      <c r="F67" s="64" t="str">
        <f aca="false">IF(F65="","",(772144.36-F65)/2320220.13)</f>
        <v/>
      </c>
      <c r="G67" s="64" t="str">
        <f aca="false">IF(G65="","",(772144.36-G65)/2320220.13)</f>
        <v/>
      </c>
      <c r="H67" s="64" t="str">
        <f aca="false">IF(H65="","",(772144.36-H65)/2320220.13)</f>
        <v/>
      </c>
    </row>
    <row r="68" customFormat="false" ht="15" hidden="false" customHeight="true" outlineLevel="0" collapsed="false">
      <c r="A68" s="22" t="s">
        <v>371</v>
      </c>
      <c r="B68" s="22"/>
      <c r="C68" s="22"/>
      <c r="D68" s="63" t="n">
        <f aca="true">IF(OR(D51="",AND(D61="",$D$34=""),D13=""),"",IF(IF(D61="",IF($D$34="",0,$D$34),D61)=0,0,SUMPRODUCT(((D13*1.02^(ROW(INDIRECT("1:10"))-1))-(IF(D62&lt;&gt;"",D62,IF($D$36&lt;&gt;"",$D$36,(D51*(1+IF(D52="",0,D52))^ROUNDDOWN((ROW(INDIRECT("1:10"))-1)/IF(D53="",5,D53),0))/IF(D61="",IF($D$34="",0,$D$34),D61))))&gt;0)*((D13*1.02^(ROW(INDIRECT("1:10"))-1))-(IF(D62&lt;&gt;"",D62,IF($D$36&lt;&gt;"",$D$36,(D51*(1+IF(D52="",0,D52))^ROUNDDOWN((ROW(INDIRECT("1:10"))-1)/IF(D53="",5,D53),0))/IF(D61="",IF($D$34="",0,$D$34),D61))))))*IF(D61="",IF($D$34="",0,$D$34),D61)))</f>
        <v>0</v>
      </c>
      <c r="E68" s="63" t="str">
        <f aca="true">IF(OR(E51="",AND(E61="",$D$34=""),D13=""),"",IF(IF(E61="",IF($D$34="",0,$D$34),E61)=0,0,SUMPRODUCT(((D13*1.02^(ROW(INDIRECT("1:10"))-1))-(IF(E62&lt;&gt;"",E62,IF($D$36&lt;&gt;"",$D$36,(E51*(1+IF(E52="",0,E52))^ROUNDDOWN((ROW(INDIRECT("1:10"))-1)/IF(E53="",5,E53),0))/IF(E61="",IF($D$34="",0,$D$34),E61))))&gt;0)*((D13*1.02^(ROW(INDIRECT("1:10"))-1))-(IF(E62&lt;&gt;"",E62,IF($D$36&lt;&gt;"",$D$36,(E51*(1+IF(E52="",0,E52))^ROUNDDOWN((ROW(INDIRECT("1:10"))-1)/IF(E53="",5,E53),0))/IF(E61="",IF($D$34="",0,$D$34),E61))))))*IF(E61="",IF($D$34="",0,$D$34),E61)))</f>
        <v/>
      </c>
      <c r="F68" s="63" t="str">
        <f aca="true">IF(OR(F51="",AND(F61="",$D$34=""),D13=""),"",IF(IF(F61="",IF($D$34="",0,$D$34),F61)=0,0,SUMPRODUCT(((D13*1.02^(ROW(INDIRECT("1:10"))-1))-(IF(F62&lt;&gt;"",F62,IF($D$36&lt;&gt;"",$D$36,(F51*(1+IF(F52="",0,F52))^ROUNDDOWN((ROW(INDIRECT("1:10"))-1)/IF(F53="",5,F53),0))/IF(F61="",IF($D$34="",0,$D$34),F61))))&gt;0)*((D13*1.02^(ROW(INDIRECT("1:10"))-1))-(IF(F62&lt;&gt;"",F62,IF($D$36&lt;&gt;"",$D$36,(F51*(1+IF(F52="",0,F52))^ROUNDDOWN((ROW(INDIRECT("1:10"))-1)/IF(F53="",5,F53),0))/IF(F61="",IF($D$34="",0,$D$34),F61))))))*IF(F61="",IF($D$34="",0,$D$34),F61)))</f>
        <v/>
      </c>
      <c r="G68" s="63" t="str">
        <f aca="true">IF(OR(G51="",AND(G61="",$D$34=""),D13=""),"",IF(IF(G61="",IF($D$34="",0,$D$34),G61)=0,0,SUMPRODUCT(((D13*1.02^(ROW(INDIRECT("1:10"))-1))-(IF(G62&lt;&gt;"",G62,IF($D$36&lt;&gt;"",$D$36,(G51*(1+IF(G52="",0,G52))^ROUNDDOWN((ROW(INDIRECT("1:10"))-1)/IF(G53="",5,G53),0))/IF(G61="",IF($D$34="",0,$D$34),G61))))&gt;0)*((D13*1.02^(ROW(INDIRECT("1:10"))-1))-(IF(G62&lt;&gt;"",G62,IF($D$36&lt;&gt;"",$D$36,(G51*(1+IF(G52="",0,G52))^ROUNDDOWN((ROW(INDIRECT("1:10"))-1)/IF(G53="",5,G53),0))/IF(G61="",IF($D$34="",0,$D$34),G61))))))*IF(G61="",IF($D$34="",0,$D$34),G61)))</f>
        <v/>
      </c>
      <c r="H68" s="63" t="str">
        <f aca="true">IF(OR(H51="",AND(H61="",$D$34=""),D13=""),"",IF(IF(H61="",IF($D$34="",0,$D$34),H61)=0,0,SUMPRODUCT(((D13*1.02^(ROW(INDIRECT("1:10"))-1))-(IF(H62&lt;&gt;"",H62,IF($D$36&lt;&gt;"",$D$36,(H51*(1+IF(H52="",0,H52))^ROUNDDOWN((ROW(INDIRECT("1:10"))-1)/IF(H53="",5,H53),0))/IF(H61="",IF($D$34="",0,$D$34),H61))))&gt;0)*((D13*1.02^(ROW(INDIRECT("1:10"))-1))-(IF(H62&lt;&gt;"",H62,IF($D$36&lt;&gt;"",$D$36,(H51*(1+IF(H52="",0,H52))^ROUNDDOWN((ROW(INDIRECT("1:10"))-1)/IF(H53="",5,H53),0))/IF(H61="",IF($D$34="",0,$D$34),H61))))))*IF(H61="",IF($D$34="",0,$D$34),H61)))</f>
        <v/>
      </c>
    </row>
    <row r="69" customFormat="false" ht="15" hidden="false" customHeight="true" outlineLevel="0" collapsed="false">
      <c r="A69" s="22" t="s">
        <v>372</v>
      </c>
      <c r="B69" s="22"/>
      <c r="C69" s="22"/>
      <c r="D69" s="63" t="n">
        <f aca="false">IF(OR(D59="",D68=""),"",D59+D68)</f>
        <v>430744.8</v>
      </c>
      <c r="E69" s="63" t="str">
        <f aca="false">IF(OR(E59="",E68=""),"",E59+E68)</f>
        <v/>
      </c>
      <c r="F69" s="63" t="str">
        <f aca="false">IF(OR(F59="",F68=""),"",F59+F68)</f>
        <v/>
      </c>
      <c r="G69" s="63" t="str">
        <f aca="false">IF(OR(G59="",G68=""),"",G59+G68)</f>
        <v/>
      </c>
      <c r="H69" s="63" t="str">
        <f aca="false">IF(OR(H59="",H68=""),"",H59+H68)</f>
        <v/>
      </c>
    </row>
    <row r="70" customFormat="false" ht="23.85" hidden="false" customHeight="true" outlineLevel="0" collapsed="false">
      <c r="A70" s="22" t="s">
        <v>373</v>
      </c>
      <c r="B70" s="22"/>
      <c r="C70" s="22"/>
      <c r="D70" s="65" t="n">
        <f aca="true">IF(D51="","",SUMPRODUCT(D51*(1+IF(D52="",0,D52))^ROUNDDOWN((ROW(INDIRECT("1:"&amp;IF(D54="",10,D54)))-1)/IF(D53="",5,D53),0))+IF(OR(D13="",IF(D61="",IF($D$34="",0,$D$34),D61)=0),0,SUMPRODUCT(((D13*1.02^(ROW(INDIRECT("1:"&amp;IF(D54="",10,D54)))-1))-(IF(D62&lt;&gt;"",D62,IF($D$36&lt;&gt;"",$D$36,(D51*(1+IF(D52="",0,D52))^ROUNDDOWN((ROW(INDIRECT("1:"&amp;IF(D54="",10,D54)))-1)/IF(D53="",5,D53),0))/IF(D61="",IF($D$34="",0,$D$34),D61))))&gt;0)*((D13*1.02^(ROW(INDIRECT("1:"&amp;IF(D54="",10,D54)))-1))-(IF(D62&lt;&gt;"",D62,IF($D$36&lt;&gt;"",$D$36,(D51*(1+IF(D52="",0,D52))^ROUNDDOWN((ROW(INDIRECT("1:"&amp;IF(D54="",10,D54)))-1)/IF(D53="",5,D53),0))/IF(D61="",IF($D$34="",0,$D$34),D61))))))*IF(D61="",IF($D$34="",0,$D$34),D61)))</f>
        <v>878891.68992</v>
      </c>
      <c r="E70" s="65" t="str">
        <f aca="true">IF(E51="","",SUMPRODUCT(E51*(1+IF(E52="",0,E52))^ROUNDDOWN((ROW(INDIRECT("1:"&amp;IF(E54="",10,E54)))-1)/IF(E53="",5,E53),0))+IF(OR(D13="",IF(E61="",IF($D$34="",0,$D$34),E61)=0),0,SUMPRODUCT(((D13*1.02^(ROW(INDIRECT("1:"&amp;IF(E54="",10,E54)))-1))-(IF(E62&lt;&gt;"",E62,IF($D$36&lt;&gt;"",$D$36,(E51*(1+IF(E52="",0,E52))^ROUNDDOWN((ROW(INDIRECT("1:"&amp;IF(E54="",10,E54)))-1)/IF(E53="",5,E53),0))/IF(E61="",IF($D$34="",0,$D$34),E61))))&gt;0)*((D13*1.02^(ROW(INDIRECT("1:"&amp;IF(E54="",10,E54)))-1))-(IF(E62&lt;&gt;"",E62,IF($D$36&lt;&gt;"",$D$36,(E51*(1+IF(E52="",0,E52))^ROUNDDOWN((ROW(INDIRECT("1:"&amp;IF(E54="",10,E54)))-1)/IF(E53="",5,E53),0))/IF(E61="",IF($D$34="",0,$D$34),E61))))))*IF(E61="",IF($D$34="",0,$D$34),E61)))</f>
        <v/>
      </c>
      <c r="F70" s="65" t="str">
        <f aca="true">IF(F51="","",SUMPRODUCT(F51*(1+IF(F52="",0,F52))^ROUNDDOWN((ROW(INDIRECT("1:"&amp;IF(F54="",10,F54)))-1)/IF(F53="",5,F53),0))+IF(OR(D13="",IF(F61="",IF($D$34="",0,$D$34),F61)=0),0,SUMPRODUCT(((D13*1.02^(ROW(INDIRECT("1:"&amp;IF(F54="",10,F54)))-1))-(IF(F62&lt;&gt;"",F62,IF($D$36&lt;&gt;"",$D$36,(F51*(1+IF(F52="",0,F52))^ROUNDDOWN((ROW(INDIRECT("1:"&amp;IF(F54="",10,F54)))-1)/IF(F53="",5,F53),0))/IF(F61="",IF($D$34="",0,$D$34),F61))))&gt;0)*((D13*1.02^(ROW(INDIRECT("1:"&amp;IF(F54="",10,F54)))-1))-(IF(F62&lt;&gt;"",F62,IF($D$36&lt;&gt;"",$D$36,(F51*(1+IF(F52="",0,F52))^ROUNDDOWN((ROW(INDIRECT("1:"&amp;IF(F54="",10,F54)))-1)/IF(F53="",5,F53),0))/IF(F61="",IF($D$34="",0,$D$34),F61))))))*IF(F61="",IF($D$34="",0,$D$34),F61)))</f>
        <v/>
      </c>
      <c r="G70" s="65" t="str">
        <f aca="true">IF(G51="","",SUMPRODUCT(G51*(1+IF(G52="",0,G52))^ROUNDDOWN((ROW(INDIRECT("1:"&amp;IF(G54="",10,G54)))-1)/IF(G53="",5,G53),0))+IF(OR(D13="",IF(G61="",IF($D$34="",0,$D$34),G61)=0),0,SUMPRODUCT(((D13*1.02^(ROW(INDIRECT("1:"&amp;IF(G54="",10,G54)))-1))-(IF(G62&lt;&gt;"",G62,IF($D$36&lt;&gt;"",$D$36,(G51*(1+IF(G52="",0,G52))^ROUNDDOWN((ROW(INDIRECT("1:"&amp;IF(G54="",10,G54)))-1)/IF(G53="",5,G53),0))/IF(G61="",IF($D$34="",0,$D$34),G61))))&gt;0)*((D13*1.02^(ROW(INDIRECT("1:"&amp;IF(G54="",10,G54)))-1))-(IF(G62&lt;&gt;"",G62,IF($D$36&lt;&gt;"",$D$36,(G51*(1+IF(G52="",0,G52))^ROUNDDOWN((ROW(INDIRECT("1:"&amp;IF(G54="",10,G54)))-1)/IF(G53="",5,G53),0))/IF(G61="",IF($D$34="",0,$D$34),G61))))))*IF(G61="",IF($D$34="",0,$D$34),G61)))</f>
        <v/>
      </c>
      <c r="H70" s="65" t="str">
        <f aca="true">IF(H51="","",SUMPRODUCT(H51*(1+IF(H52="",0,H52))^ROUNDDOWN((ROW(INDIRECT("1:"&amp;IF(H54="",10,H54)))-1)/IF(H53="",5,H53),0))+IF(OR(D13="",IF(H61="",IF($D$34="",0,$D$34),H61)=0),0,SUMPRODUCT(((D13*1.02^(ROW(INDIRECT("1:"&amp;IF(H54="",10,H54)))-1))-(IF(H62&lt;&gt;"",H62,IF($D$36&lt;&gt;"",$D$36,(H51*(1+IF(H52="",0,H52))^ROUNDDOWN((ROW(INDIRECT("1:"&amp;IF(H54="",10,H54)))-1)/IF(H53="",5,H53),0))/IF(H61="",IF($D$34="",0,$D$34),H61))))&gt;0)*((D13*1.02^(ROW(INDIRECT("1:"&amp;IF(H54="",10,H54)))-1))-(IF(H62&lt;&gt;"",H62,IF($D$36&lt;&gt;"",$D$36,(H51*(1+IF(H52="",0,H52))^ROUNDDOWN((ROW(INDIRECT("1:"&amp;IF(H54="",10,H54)))-1)/IF(H53="",5,H53),0))/IF(H61="",IF($D$34="",0,$D$34),H61))))))*IF(H61="",IF($D$34="",0,$D$34),H61)))</f>
        <v/>
      </c>
    </row>
    <row r="71" customFormat="false" ht="15" hidden="false" customHeight="true" outlineLevel="0" collapsed="false">
      <c r="A71" s="22" t="s">
        <v>374</v>
      </c>
      <c r="B71" s="22"/>
      <c r="C71" s="22"/>
      <c r="D71" s="62" t="n">
        <f aca="false">IF(D51="","",IF(D52="",0,(1+D52)^(5/IF(D53="",5,D53))-1))</f>
        <v>0.02</v>
      </c>
      <c r="E71" s="62" t="str">
        <f aca="false">IF(E51="","",IF(E52="",0,(1+E52)^(5/IF(E53="",5,E53))-1))</f>
        <v/>
      </c>
      <c r="F71" s="62" t="str">
        <f aca="false">IF(F51="","",IF(F52="",0,(1+F52)^(5/IF(F53="",5,F53))-1))</f>
        <v/>
      </c>
      <c r="G71" s="62" t="str">
        <f aca="false">IF(G51="","",IF(G52="",0,(1+G52)^(5/IF(G53="",5,G53))-1))</f>
        <v/>
      </c>
      <c r="H71" s="62" t="str">
        <f aca="false">IF(H51="","",IF(H52="",0,(1+H52)^(5/IF(H53="",5,H53))-1))</f>
        <v/>
      </c>
    </row>
    <row r="72" customFormat="false" ht="43.25" hidden="false" customHeight="true" outlineLevel="0" collapsed="false">
      <c r="A72" s="22" t="s">
        <v>375</v>
      </c>
      <c r="B72" s="22"/>
      <c r="C72" s="22"/>
      <c r="D72" s="66" t="str">
        <f aca="false">IF(D71="","",IF(D71&lt;=0,"REDUCTION / FLAT — ladder steps 1-2 (best)",IF(D71&lt;=0.08,"OK — within 8%/5-yr in-house authority (ladder step 3)","ABOVE 8%/5-yr — CEO SIGN-OFF REQUIRED (Rob 8/5/26)")))</f>
        <v>OK — within 8%/5-yr in-house authority (ladder step 3)</v>
      </c>
      <c r="E72" s="66" t="str">
        <f aca="false">IF(E71="","",IF(E71&lt;=0,"REDUCTION / FLAT — ladder steps 1-2 (best)",IF(E71&lt;=0.08,"OK — within 8%/5-yr in-house authority (ladder step 3)","ABOVE 8%/5-yr — CEO SIGN-OFF REQUIRED (Rob 8/5/26)")))</f>
        <v/>
      </c>
      <c r="F72" s="66" t="str">
        <f aca="false">IF(F71="","",IF(F71&lt;=0,"REDUCTION / FLAT — ladder steps 1-2 (best)",IF(F71&lt;=0.08,"OK — within 8%/5-yr in-house authority (ladder step 3)","ABOVE 8%/5-yr — CEO SIGN-OFF REQUIRED (Rob 8/5/26)")))</f>
        <v/>
      </c>
      <c r="G72" s="66" t="str">
        <f aca="false">IF(G71="","",IF(G71&lt;=0,"REDUCTION / FLAT — ladder steps 1-2 (best)",IF(G71&lt;=0.08,"OK — within 8%/5-yr in-house authority (ladder step 3)","ABOVE 8%/5-yr — CEO SIGN-OFF REQUIRED (Rob 8/5/26)")))</f>
        <v/>
      </c>
      <c r="H72" s="66" t="str">
        <f aca="false">IF(H71="","",IF(H71&lt;=0,"REDUCTION / FLAT — ladder steps 1-2 (best)",IF(H71&lt;=0.08,"OK — within 8%/5-yr in-house authority (ladder step 3)","ABOVE 8%/5-yr — CEO SIGN-OFF REQUIRED (Rob 8/5/26)")))</f>
        <v/>
      </c>
    </row>
    <row r="73" customFormat="false" ht="23.85" hidden="false" customHeight="true" outlineLevel="0" collapsed="false">
      <c r="A73" s="22" t="s">
        <v>376</v>
      </c>
      <c r="B73" s="22"/>
      <c r="C73" s="22"/>
      <c r="D73" s="62" t="n">
        <f aca="false">IF(OR(D51="",D13=""),"",((D51*(1+IF(D52="",0,D52))^ROUNDDOWN(9/IF(D53="",5,D53),0))+IF(IF(D61="",IF($D$34="",0,$D$34),D61)=0,0,MAX(0,D13*1.02^9-IF(D62&lt;&gt;"",D62,IF($D$36&lt;&gt;"",$D$36,(D51*(1+IF(D52="",0,D52))^ROUNDDOWN(9/IF(D53="",5,D53),0))/IF(D61="",IF($D$34="",0,$D$34),D61))))*IF(D61="",IF($D$34="",0,$D$34),D61)))/(D13*1.02^9))</f>
        <v>0.0156880189426319</v>
      </c>
      <c r="E73" s="62" t="str">
        <f aca="false">IF(OR(E51="",D13=""),"",((E51*(1+IF(E52="",0,E52))^ROUNDDOWN(9/IF(E53="",5,E53),0))+IF(IF(E61="",IF($D$34="",0,$D$34),E61)=0,0,MAX(0,D13*1.02^9-IF(E62&lt;&gt;"",E62,IF($D$36&lt;&gt;"",$D$36,(E51*(1+IF(E52="",0,E52))^ROUNDDOWN(9/IF(E53="",5,E53),0))/IF(E61="",IF($D$34="",0,$D$34),E61))))*IF(E61="",IF($D$34="",0,$D$34),E61)))/(D13*1.02^9))</f>
        <v/>
      </c>
      <c r="F73" s="62" t="str">
        <f aca="false">IF(OR(F51="",D13=""),"",((F51*(1+IF(F52="",0,F52))^ROUNDDOWN(9/IF(F53="",5,F53),0))+IF(IF(F61="",IF($D$34="",0,$D$34),F61)=0,0,MAX(0,D13*1.02^9-IF(F62&lt;&gt;"",F62,IF($D$36&lt;&gt;"",$D$36,(F51*(1+IF(F52="",0,F52))^ROUNDDOWN(9/IF(F53="",5,F53),0))/IF(F61="",IF($D$34="",0,$D$34),F61))))*IF(F61="",IF($D$34="",0,$D$34),F61)))/(D13*1.02^9))</f>
        <v/>
      </c>
      <c r="G73" s="62" t="str">
        <f aca="false">IF(OR(G51="",D13=""),"",((G51*(1+IF(G52="",0,G52))^ROUNDDOWN(9/IF(G53="",5,G53),0))+IF(IF(G61="",IF($D$34="",0,$D$34),G61)=0,0,MAX(0,D13*1.02^9-IF(G62&lt;&gt;"",G62,IF($D$36&lt;&gt;"",$D$36,(G51*(1+IF(G52="",0,G52))^ROUNDDOWN(9/IF(G53="",5,G53),0))/IF(G61="",IF($D$34="",0,$D$34),G61))))*IF(G61="",IF($D$34="",0,$D$34),G61)))/(D13*1.02^9))</f>
        <v/>
      </c>
      <c r="H73" s="62" t="str">
        <f aca="false">IF(OR(H51="",D13=""),"",((H51*(1+IF(H52="",0,H52))^ROUNDDOWN(9/IF(H53="",5,H53),0))+IF(IF(H61="",IF($D$34="",0,$D$34),H61)=0,0,MAX(0,D13*1.02^9-IF(H62&lt;&gt;"",H62,IF($D$36&lt;&gt;"",$D$36,(H51*(1+IF(H52="",0,H52))^ROUNDDOWN(9/IF(H53="",5,H53),0))/IF(H61="",IF($D$34="",0,$D$34),H61))))*IF(H61="",IF($D$34="",0,$D$34),H61)))/(D13*1.02^9))</f>
        <v/>
      </c>
    </row>
    <row r="74" customFormat="false" ht="23.85" hidden="false" customHeight="true" outlineLevel="0" collapsed="false">
      <c r="A74" s="22" t="s">
        <v>377</v>
      </c>
      <c r="B74" s="22"/>
      <c r="C74" s="22"/>
      <c r="D74" s="66" t="str">
        <f aca="false">IF(OR(D73="",D66=""),"",IF(MAX(D66,D73)&gt;=0.08,"HARD STOP — occupancy at/above 8% of sales: STOP, CEO sign-off before responding",IF(MAX(D66,D73)&gt;0.07,"Above Kim 7% alert — approaching 8% hard stop","OK — under 7% alert")))</f>
        <v>OK — under 7% alert</v>
      </c>
      <c r="E74" s="66" t="str">
        <f aca="false">IF(OR(E73="",E66=""),"",IF(MAX(E66,E73)&gt;=0.08,"HARD STOP — occupancy at/above 8% of sales: STOP, CEO sign-off before responding",IF(MAX(E66,E73)&gt;0.07,"Above Kim 7% alert — approaching 8% hard stop","OK — under 7% alert")))</f>
        <v/>
      </c>
      <c r="F74" s="66" t="str">
        <f aca="false">IF(OR(F73="",F66=""),"",IF(MAX(F66,F73)&gt;=0.08,"HARD STOP — occupancy at/above 8% of sales: STOP, CEO sign-off before responding",IF(MAX(F66,F73)&gt;0.07,"Above Kim 7% alert — approaching 8% hard stop","OK — under 7% alert")))</f>
        <v/>
      </c>
      <c r="G74" s="66" t="str">
        <f aca="false">IF(OR(G73="",G66=""),"",IF(MAX(G66,G73)&gt;=0.08,"HARD STOP — occupancy at/above 8% of sales: STOP, CEO sign-off before responding",IF(MAX(G66,G73)&gt;0.07,"Above Kim 7% alert — approaching 8% hard stop","OK — under 7% alert")))</f>
        <v/>
      </c>
      <c r="H74" s="66" t="str">
        <f aca="false">IF(OR(H73="",H66=""),"",IF(MAX(H66,H73)&gt;=0.08,"HARD STOP — occupancy at/above 8% of sales: STOP, CEO sign-off before responding",IF(MAX(H66,H73)&gt;0.07,"Above Kim 7% alert — approaching 8% hard stop","OK — under 7% alert")))</f>
        <v/>
      </c>
    </row>
    <row r="76" customFormat="false" ht="22.35" hidden="false" customHeight="true" outlineLevel="0" collapsed="false">
      <c r="A76" s="68" t="s">
        <v>379</v>
      </c>
      <c r="B76" s="68"/>
      <c r="C76" s="68"/>
      <c r="D76" s="68"/>
      <c r="E76" s="68"/>
      <c r="F76" s="68"/>
      <c r="G76" s="68"/>
      <c r="H76" s="68"/>
      <c r="I76" s="68"/>
      <c r="J76" s="68"/>
    </row>
    <row r="78" customFormat="false" ht="15" hidden="false" customHeight="false" outlineLevel="0" collapsed="false">
      <c r="A78" s="69" t="s">
        <v>380</v>
      </c>
      <c r="B78" s="69"/>
      <c r="C78" s="69"/>
      <c r="D78" s="69"/>
      <c r="E78" s="69"/>
      <c r="F78" s="69"/>
      <c r="G78" s="69"/>
      <c r="H78" s="69"/>
      <c r="I78" s="69"/>
      <c r="J78" s="69"/>
    </row>
    <row r="81" customFormat="false" ht="15" hidden="false" customHeight="false" outlineLevel="0" collapsed="false">
      <c r="A81" s="25" t="s">
        <v>381</v>
      </c>
    </row>
    <row r="82" customFormat="false" ht="15" hidden="false" customHeight="false" outlineLevel="0" collapsed="false">
      <c r="A82" s="69" t="s">
        <v>382</v>
      </c>
      <c r="B82" s="69"/>
      <c r="C82" s="69"/>
      <c r="D82" s="69"/>
      <c r="E82" s="69"/>
      <c r="F82" s="69"/>
      <c r="G82" s="69"/>
      <c r="H82" s="69"/>
      <c r="I82" s="69"/>
      <c r="J82" s="69"/>
      <c r="K82" s="69"/>
      <c r="L82" s="69"/>
      <c r="M82" s="69"/>
      <c r="N82" s="69"/>
      <c r="O82" s="69"/>
      <c r="P82" s="69"/>
      <c r="Q82" s="69"/>
      <c r="R82" s="69"/>
      <c r="S82" s="69"/>
      <c r="T82" s="69"/>
    </row>
    <row r="83" customFormat="false" ht="15" hidden="false" customHeight="true" outlineLevel="0" collapsed="false">
      <c r="A83" s="70" t="s">
        <v>383</v>
      </c>
      <c r="B83" s="70" t="s">
        <v>384</v>
      </c>
      <c r="C83" s="71" t="s">
        <v>385</v>
      </c>
      <c r="D83" s="71"/>
      <c r="E83" s="71"/>
      <c r="F83" s="71" t="s">
        <v>386</v>
      </c>
      <c r="G83" s="71"/>
      <c r="H83" s="71"/>
      <c r="I83" s="71" t="s">
        <v>387</v>
      </c>
      <c r="J83" s="71"/>
      <c r="K83" s="71"/>
      <c r="L83" s="71" t="s">
        <v>388</v>
      </c>
      <c r="M83" s="71"/>
      <c r="N83" s="71"/>
      <c r="O83" s="71" t="s">
        <v>389</v>
      </c>
      <c r="P83" s="71"/>
      <c r="Q83" s="71"/>
      <c r="R83" s="72" t="s">
        <v>390</v>
      </c>
      <c r="S83" s="72"/>
      <c r="T83" s="72"/>
    </row>
    <row r="84" customFormat="false" ht="15" hidden="false" customHeight="false" outlineLevel="0" collapsed="false">
      <c r="A84" s="73"/>
      <c r="B84" s="73"/>
      <c r="C84" s="73" t="s">
        <v>391</v>
      </c>
      <c r="D84" s="73" t="s">
        <v>392</v>
      </c>
      <c r="E84" s="73" t="s">
        <v>393</v>
      </c>
      <c r="F84" s="73" t="s">
        <v>391</v>
      </c>
      <c r="G84" s="73" t="s">
        <v>392</v>
      </c>
      <c r="H84" s="73" t="s">
        <v>393</v>
      </c>
      <c r="I84" s="73" t="s">
        <v>391</v>
      </c>
      <c r="J84" s="73" t="s">
        <v>392</v>
      </c>
      <c r="K84" s="73" t="s">
        <v>393</v>
      </c>
      <c r="L84" s="73" t="s">
        <v>391</v>
      </c>
      <c r="M84" s="73" t="s">
        <v>392</v>
      </c>
      <c r="N84" s="73" t="s">
        <v>393</v>
      </c>
      <c r="O84" s="73" t="s">
        <v>391</v>
      </c>
      <c r="P84" s="73" t="s">
        <v>392</v>
      </c>
      <c r="Q84" s="73" t="s">
        <v>393</v>
      </c>
      <c r="R84" s="73" t="s">
        <v>391</v>
      </c>
      <c r="S84" s="73" t="s">
        <v>392</v>
      </c>
      <c r="T84" s="73" t="s">
        <v>393</v>
      </c>
    </row>
    <row r="85" customFormat="false" ht="15" hidden="false" customHeight="false" outlineLevel="0" collapsed="false">
      <c r="A85" s="74" t="n">
        <v>1</v>
      </c>
      <c r="B85" s="75" t="n">
        <v>2320220</v>
      </c>
      <c r="C85" s="76" t="n">
        <v>42648</v>
      </c>
      <c r="D85" s="76" t="n">
        <v>0</v>
      </c>
      <c r="E85" s="76" t="n">
        <v>42648</v>
      </c>
      <c r="F85" s="75" t="n">
        <f aca="false">IF(D51="","",IF(1&gt;IF(D54="",10,D54),"",D51*(1+IF(D52="",0,D52))^ROUNDDOWN((1-1)/IF(D53="",5,D53),0)))</f>
        <v>42648</v>
      </c>
      <c r="G85" s="75" t="n">
        <f aca="false">IF(F85="","",IF((IF(D61="",IF($D$34="",0,$D$34),D61))=0,0,MAX(0,2320220.13-(IF(D62&lt;&gt;"",D62,IF($D$36&lt;&gt;"",$D$36,IF((IF(D61="",IF($D$34="",0,$D$34),D61))=0,0,D51/(IF(D61="",IF($D$34="",0,$D$34),D61)))))))*(IF(D61="",IF($D$34="",0,$D$34),D61))))</f>
        <v>0</v>
      </c>
      <c r="H85" s="75" t="n">
        <f aca="false">IF(F85="","",F85+G85)</f>
        <v>42648</v>
      </c>
      <c r="I85" s="75" t="str">
        <f aca="false">IF(E51="","",IF(1&gt;IF(E54="",10,E54),"",E51*(1+IF(E52="",0,E52))^ROUNDDOWN((1-1)/IF(E53="",5,E53),0)))</f>
        <v/>
      </c>
      <c r="J85" s="75" t="str">
        <f aca="false">IF(I85="","",IF((IF(E61="",IF($D$34="",0,$D$34),E61))=0,0,MAX(0,2320220.13-(IF(E62&lt;&gt;"",E62,IF($D$36&lt;&gt;"",$D$36,IF((IF(E61="",IF($D$34="",0,$D$34),E61))=0,0,E51/(IF(E61="",IF($D$34="",0,$D$34),E61)))))))*(IF(E61="",IF($D$34="",0,$D$34),E61))))</f>
        <v/>
      </c>
      <c r="K85" s="75" t="str">
        <f aca="false">IF(I85="","",I85+J85)</f>
        <v/>
      </c>
      <c r="L85" s="75" t="str">
        <f aca="false">IF(F51="","",IF(1&gt;IF(F54="",10,F54),"",F51*(1+IF(F52="",0,F52))^ROUNDDOWN((1-1)/IF(F53="",5,F53),0)))</f>
        <v/>
      </c>
      <c r="M85" s="75" t="str">
        <f aca="false">IF(L85="","",IF((IF(F61="",IF($D$34="",0,$D$34),F61))=0,0,MAX(0,2320220.13-(IF(F62&lt;&gt;"",F62,IF($D$36&lt;&gt;"",$D$36,IF((IF(F61="",IF($D$34="",0,$D$34),F61))=0,0,F51/(IF(F61="",IF($D$34="",0,$D$34),F61)))))))*(IF(F61="",IF($D$34="",0,$D$34),F61))))</f>
        <v/>
      </c>
      <c r="N85" s="75" t="str">
        <f aca="false">IF(L85="","",L85+M85)</f>
        <v/>
      </c>
      <c r="O85" s="75" t="str">
        <f aca="false">IF(G51="","",IF(1&gt;IF(G54="",10,G54),"",G51*(1+IF(G52="",0,G52))^ROUNDDOWN((1-1)/IF(G53="",5,G53),0)))</f>
        <v/>
      </c>
      <c r="P85" s="75" t="str">
        <f aca="false">IF(O85="","",IF((IF(G61="",IF($D$34="",0,$D$34),G61))=0,0,MAX(0,2320220.13-(IF(G62&lt;&gt;"",G62,IF($D$36&lt;&gt;"",$D$36,IF((IF(G61="",IF($D$34="",0,$D$34),G61))=0,0,G51/(IF(G61="",IF($D$34="",0,$D$34),G61)))))))*(IF(G61="",IF($D$34="",0,$D$34),G61))))</f>
        <v/>
      </c>
      <c r="Q85" s="75" t="str">
        <f aca="false">IF(O85="","",O85+P85)</f>
        <v/>
      </c>
      <c r="R85" s="75" t="str">
        <f aca="false">IF(H51="","",IF(1&gt;IF(H54="",10,H54),"",H51*(1+IF(H52="",0,H52))^ROUNDDOWN((1-1)/IF(H53="",5,H53),0)))</f>
        <v/>
      </c>
      <c r="S85" s="75" t="str">
        <f aca="false">IF(R85="","",IF((IF(H61="",IF($D$34="",0,$D$34),H61))=0,0,MAX(0,2320220.13-(IF(H62&lt;&gt;"",H62,IF($D$36&lt;&gt;"",$D$36,IF((IF(H61="",IF($D$34="",0,$D$34),H61))=0,0,H51/(IF(H61="",IF($D$34="",0,$D$34),H61)))))))*(IF(H61="",IF($D$34="",0,$D$34),H61))))</f>
        <v/>
      </c>
      <c r="T85" s="75" t="str">
        <f aca="false">IF(R85="","",R85+S85)</f>
        <v/>
      </c>
    </row>
    <row r="86" customFormat="false" ht="15" hidden="false" customHeight="false" outlineLevel="0" collapsed="false">
      <c r="A86" s="74" t="n">
        <v>2</v>
      </c>
      <c r="B86" s="75" t="n">
        <v>2366625</v>
      </c>
      <c r="C86" s="76" t="n">
        <v>42648</v>
      </c>
      <c r="D86" s="76" t="n">
        <v>0</v>
      </c>
      <c r="E86" s="76" t="n">
        <v>42648</v>
      </c>
      <c r="F86" s="75" t="n">
        <f aca="false">IF(D51="","",IF(2&gt;IF(D54="",10,D54),"",D51*(1+IF(D52="",0,D52))^ROUNDDOWN((2-1)/IF(D53="",5,D53),0)))</f>
        <v>42648</v>
      </c>
      <c r="G86" s="75" t="n">
        <f aca="false">IF(F86="","",IF((IF(D61="",IF($D$34="",0,$D$34),D61))=0,0,MAX(0,2366624.53-(IF(D62&lt;&gt;"",D62,IF($D$36&lt;&gt;"",$D$36,IF((IF(D61="",IF($D$34="",0,$D$34),D61))=0,0,D51/(IF(D61="",IF($D$34="",0,$D$34),D61)))))))*(IF(D61="",IF($D$34="",0,$D$34),D61))))</f>
        <v>0</v>
      </c>
      <c r="H86" s="75" t="n">
        <f aca="false">IF(F86="","",F86+G86)</f>
        <v>42648</v>
      </c>
      <c r="I86" s="75" t="str">
        <f aca="false">IF(E51="","",IF(2&gt;IF(E54="",10,E54),"",E51*(1+IF(E52="",0,E52))^ROUNDDOWN((2-1)/IF(E53="",5,E53),0)))</f>
        <v/>
      </c>
      <c r="J86" s="75" t="str">
        <f aca="false">IF(I86="","",IF((IF(E61="",IF($D$34="",0,$D$34),E61))=0,0,MAX(0,2366624.53-(IF(E62&lt;&gt;"",E62,IF($D$36&lt;&gt;"",$D$36,IF((IF(E61="",IF($D$34="",0,$D$34),E61))=0,0,E51/(IF(E61="",IF($D$34="",0,$D$34),E61)))))))*(IF(E61="",IF($D$34="",0,$D$34),E61))))</f>
        <v/>
      </c>
      <c r="K86" s="75" t="str">
        <f aca="false">IF(I86="","",I86+J86)</f>
        <v/>
      </c>
      <c r="L86" s="75" t="str">
        <f aca="false">IF(F51="","",IF(2&gt;IF(F54="",10,F54),"",F51*(1+IF(F52="",0,F52))^ROUNDDOWN((2-1)/IF(F53="",5,F53),0)))</f>
        <v/>
      </c>
      <c r="M86" s="75" t="str">
        <f aca="false">IF(L86="","",IF((IF(F61="",IF($D$34="",0,$D$34),F61))=0,0,MAX(0,2366624.53-(IF(F62&lt;&gt;"",F62,IF($D$36&lt;&gt;"",$D$36,IF((IF(F61="",IF($D$34="",0,$D$34),F61))=0,0,F51/(IF(F61="",IF($D$34="",0,$D$34),F61)))))))*(IF(F61="",IF($D$34="",0,$D$34),F61))))</f>
        <v/>
      </c>
      <c r="N86" s="75" t="str">
        <f aca="false">IF(L86="","",L86+M86)</f>
        <v/>
      </c>
      <c r="O86" s="75" t="str">
        <f aca="false">IF(G51="","",IF(2&gt;IF(G54="",10,G54),"",G51*(1+IF(G52="",0,G52))^ROUNDDOWN((2-1)/IF(G53="",5,G53),0)))</f>
        <v/>
      </c>
      <c r="P86" s="75" t="str">
        <f aca="false">IF(O86="","",IF((IF(G61="",IF($D$34="",0,$D$34),G61))=0,0,MAX(0,2366624.53-(IF(G62&lt;&gt;"",G62,IF($D$36&lt;&gt;"",$D$36,IF((IF(G61="",IF($D$34="",0,$D$34),G61))=0,0,G51/(IF(G61="",IF($D$34="",0,$D$34),G61)))))))*(IF(G61="",IF($D$34="",0,$D$34),G61))))</f>
        <v/>
      </c>
      <c r="Q86" s="75" t="str">
        <f aca="false">IF(O86="","",O86+P86)</f>
        <v/>
      </c>
      <c r="R86" s="75" t="str">
        <f aca="false">IF(H51="","",IF(2&gt;IF(H54="",10,H54),"",H51*(1+IF(H52="",0,H52))^ROUNDDOWN((2-1)/IF(H53="",5,H53),0)))</f>
        <v/>
      </c>
      <c r="S86" s="75" t="str">
        <f aca="false">IF(R86="","",IF((IF(H61="",IF($D$34="",0,$D$34),H61))=0,0,MAX(0,2366624.53-(IF(H62&lt;&gt;"",H62,IF($D$36&lt;&gt;"",$D$36,IF((IF(H61="",IF($D$34="",0,$D$34),H61))=0,0,H51/(IF(H61="",IF($D$34="",0,$D$34),H61)))))))*(IF(H61="",IF($D$34="",0,$D$34),H61))))</f>
        <v/>
      </c>
      <c r="T86" s="75" t="str">
        <f aca="false">IF(R86="","",R86+S86)</f>
        <v/>
      </c>
    </row>
    <row r="87" customFormat="false" ht="15" hidden="false" customHeight="false" outlineLevel="0" collapsed="false">
      <c r="A87" s="74" t="n">
        <v>3</v>
      </c>
      <c r="B87" s="75" t="n">
        <v>2413957</v>
      </c>
      <c r="C87" s="76" t="n">
        <v>42648</v>
      </c>
      <c r="D87" s="76" t="n">
        <v>0</v>
      </c>
      <c r="E87" s="76" t="n">
        <v>42648</v>
      </c>
      <c r="F87" s="75" t="n">
        <f aca="false">IF(D51="","",IF(3&gt;IF(D54="",10,D54),"",D51*(1+IF(D52="",0,D52))^ROUNDDOWN((3-1)/IF(D53="",5,D53),0)))</f>
        <v>42648</v>
      </c>
      <c r="G87" s="75" t="n">
        <f aca="false">IF(F87="","",IF((IF(D61="",IF($D$34="",0,$D$34),D61))=0,0,MAX(0,2413957.02-(IF(D62&lt;&gt;"",D62,IF($D$36&lt;&gt;"",$D$36,IF((IF(D61="",IF($D$34="",0,$D$34),D61))=0,0,D51/(IF(D61="",IF($D$34="",0,$D$34),D61)))))))*(IF(D61="",IF($D$34="",0,$D$34),D61))))</f>
        <v>0</v>
      </c>
      <c r="H87" s="75" t="n">
        <f aca="false">IF(F87="","",F87+G87)</f>
        <v>42648</v>
      </c>
      <c r="I87" s="75" t="str">
        <f aca="false">IF(E51="","",IF(3&gt;IF(E54="",10,E54),"",E51*(1+IF(E52="",0,E52))^ROUNDDOWN((3-1)/IF(E53="",5,E53),0)))</f>
        <v/>
      </c>
      <c r="J87" s="75" t="str">
        <f aca="false">IF(I87="","",IF((IF(E61="",IF($D$34="",0,$D$34),E61))=0,0,MAX(0,2413957.02-(IF(E62&lt;&gt;"",E62,IF($D$36&lt;&gt;"",$D$36,IF((IF(E61="",IF($D$34="",0,$D$34),E61))=0,0,E51/(IF(E61="",IF($D$34="",0,$D$34),E61)))))))*(IF(E61="",IF($D$34="",0,$D$34),E61))))</f>
        <v/>
      </c>
      <c r="K87" s="75" t="str">
        <f aca="false">IF(I87="","",I87+J87)</f>
        <v/>
      </c>
      <c r="L87" s="75" t="str">
        <f aca="false">IF(F51="","",IF(3&gt;IF(F54="",10,F54),"",F51*(1+IF(F52="",0,F52))^ROUNDDOWN((3-1)/IF(F53="",5,F53),0)))</f>
        <v/>
      </c>
      <c r="M87" s="75" t="str">
        <f aca="false">IF(L87="","",IF((IF(F61="",IF($D$34="",0,$D$34),F61))=0,0,MAX(0,2413957.02-(IF(F62&lt;&gt;"",F62,IF($D$36&lt;&gt;"",$D$36,IF((IF(F61="",IF($D$34="",0,$D$34),F61))=0,0,F51/(IF(F61="",IF($D$34="",0,$D$34),F61)))))))*(IF(F61="",IF($D$34="",0,$D$34),F61))))</f>
        <v/>
      </c>
      <c r="N87" s="75" t="str">
        <f aca="false">IF(L87="","",L87+M87)</f>
        <v/>
      </c>
      <c r="O87" s="75" t="str">
        <f aca="false">IF(G51="","",IF(3&gt;IF(G54="",10,G54),"",G51*(1+IF(G52="",0,G52))^ROUNDDOWN((3-1)/IF(G53="",5,G53),0)))</f>
        <v/>
      </c>
      <c r="P87" s="75" t="str">
        <f aca="false">IF(O87="","",IF((IF(G61="",IF($D$34="",0,$D$34),G61))=0,0,MAX(0,2413957.02-(IF(G62&lt;&gt;"",G62,IF($D$36&lt;&gt;"",$D$36,IF((IF(G61="",IF($D$34="",0,$D$34),G61))=0,0,G51/(IF(G61="",IF($D$34="",0,$D$34),G61)))))))*(IF(G61="",IF($D$34="",0,$D$34),G61))))</f>
        <v/>
      </c>
      <c r="Q87" s="75" t="str">
        <f aca="false">IF(O87="","",O87+P87)</f>
        <v/>
      </c>
      <c r="R87" s="75" t="str">
        <f aca="false">IF(H51="","",IF(3&gt;IF(H54="",10,H54),"",H51*(1+IF(H52="",0,H52))^ROUNDDOWN((3-1)/IF(H53="",5,H53),0)))</f>
        <v/>
      </c>
      <c r="S87" s="75" t="str">
        <f aca="false">IF(R87="","",IF((IF(H61="",IF($D$34="",0,$D$34),H61))=0,0,MAX(0,2413957.02-(IF(H62&lt;&gt;"",H62,IF($D$36&lt;&gt;"",$D$36,IF((IF(H61="",IF($D$34="",0,$D$34),H61))=0,0,H51/(IF(H61="",IF($D$34="",0,$D$34),H61)))))))*(IF(H61="",IF($D$34="",0,$D$34),H61))))</f>
        <v/>
      </c>
      <c r="T87" s="75" t="str">
        <f aca="false">IF(R87="","",R87+S87)</f>
        <v/>
      </c>
    </row>
    <row r="88" customFormat="false" ht="15" hidden="false" customHeight="false" outlineLevel="0" collapsed="false">
      <c r="A88" s="74" t="n">
        <v>4</v>
      </c>
      <c r="B88" s="75" t="n">
        <v>2462236</v>
      </c>
      <c r="C88" s="76" t="n">
        <v>42648</v>
      </c>
      <c r="D88" s="76" t="n">
        <v>0</v>
      </c>
      <c r="E88" s="76" t="n">
        <v>42648</v>
      </c>
      <c r="F88" s="75" t="n">
        <f aca="false">IF(D51="","",IF(4&gt;IF(D54="",10,D54),"",D51*(1+IF(D52="",0,D52))^ROUNDDOWN((4-1)/IF(D53="",5,D53),0)))</f>
        <v>42648</v>
      </c>
      <c r="G88" s="75" t="n">
        <f aca="false">IF(F88="","",IF((IF(D61="",IF($D$34="",0,$D$34),D61))=0,0,MAX(0,2462236.16-(IF(D62&lt;&gt;"",D62,IF($D$36&lt;&gt;"",$D$36,IF((IF(D61="",IF($D$34="",0,$D$34),D61))=0,0,D51/(IF(D61="",IF($D$34="",0,$D$34),D61)))))))*(IF(D61="",IF($D$34="",0,$D$34),D61))))</f>
        <v>0</v>
      </c>
      <c r="H88" s="75" t="n">
        <f aca="false">IF(F88="","",F88+G88)</f>
        <v>42648</v>
      </c>
      <c r="I88" s="75" t="str">
        <f aca="false">IF(E51="","",IF(4&gt;IF(E54="",10,E54),"",E51*(1+IF(E52="",0,E52))^ROUNDDOWN((4-1)/IF(E53="",5,E53),0)))</f>
        <v/>
      </c>
      <c r="J88" s="75" t="str">
        <f aca="false">IF(I88="","",IF((IF(E61="",IF($D$34="",0,$D$34),E61))=0,0,MAX(0,2462236.16-(IF(E62&lt;&gt;"",E62,IF($D$36&lt;&gt;"",$D$36,IF((IF(E61="",IF($D$34="",0,$D$34),E61))=0,0,E51/(IF(E61="",IF($D$34="",0,$D$34),E61)))))))*(IF(E61="",IF($D$34="",0,$D$34),E61))))</f>
        <v/>
      </c>
      <c r="K88" s="75" t="str">
        <f aca="false">IF(I88="","",I88+J88)</f>
        <v/>
      </c>
      <c r="L88" s="75" t="str">
        <f aca="false">IF(F51="","",IF(4&gt;IF(F54="",10,F54),"",F51*(1+IF(F52="",0,F52))^ROUNDDOWN((4-1)/IF(F53="",5,F53),0)))</f>
        <v/>
      </c>
      <c r="M88" s="75" t="str">
        <f aca="false">IF(L88="","",IF((IF(F61="",IF($D$34="",0,$D$34),F61))=0,0,MAX(0,2462236.16-(IF(F62&lt;&gt;"",F62,IF($D$36&lt;&gt;"",$D$36,IF((IF(F61="",IF($D$34="",0,$D$34),F61))=0,0,F51/(IF(F61="",IF($D$34="",0,$D$34),F61)))))))*(IF(F61="",IF($D$34="",0,$D$34),F61))))</f>
        <v/>
      </c>
      <c r="N88" s="75" t="str">
        <f aca="false">IF(L88="","",L88+M88)</f>
        <v/>
      </c>
      <c r="O88" s="75" t="str">
        <f aca="false">IF(G51="","",IF(4&gt;IF(G54="",10,G54),"",G51*(1+IF(G52="",0,G52))^ROUNDDOWN((4-1)/IF(G53="",5,G53),0)))</f>
        <v/>
      </c>
      <c r="P88" s="75" t="str">
        <f aca="false">IF(O88="","",IF((IF(G61="",IF($D$34="",0,$D$34),G61))=0,0,MAX(0,2462236.16-(IF(G62&lt;&gt;"",G62,IF($D$36&lt;&gt;"",$D$36,IF((IF(G61="",IF($D$34="",0,$D$34),G61))=0,0,G51/(IF(G61="",IF($D$34="",0,$D$34),G61)))))))*(IF(G61="",IF($D$34="",0,$D$34),G61))))</f>
        <v/>
      </c>
      <c r="Q88" s="75" t="str">
        <f aca="false">IF(O88="","",O88+P88)</f>
        <v/>
      </c>
      <c r="R88" s="75" t="str">
        <f aca="false">IF(H51="","",IF(4&gt;IF(H54="",10,H54),"",H51*(1+IF(H52="",0,H52))^ROUNDDOWN((4-1)/IF(H53="",5,H53),0)))</f>
        <v/>
      </c>
      <c r="S88" s="75" t="str">
        <f aca="false">IF(R88="","",IF((IF(H61="",IF($D$34="",0,$D$34),H61))=0,0,MAX(0,2462236.16-(IF(H62&lt;&gt;"",H62,IF($D$36&lt;&gt;"",$D$36,IF((IF(H61="",IF($D$34="",0,$D$34),H61))=0,0,H51/(IF(H61="",IF($D$34="",0,$D$34),H61)))))))*(IF(H61="",IF($D$34="",0,$D$34),H61))))</f>
        <v/>
      </c>
      <c r="T88" s="75" t="str">
        <f aca="false">IF(R88="","",R88+S88)</f>
        <v/>
      </c>
    </row>
    <row r="89" customFormat="false" ht="15" hidden="false" customHeight="false" outlineLevel="0" collapsed="false">
      <c r="A89" s="74" t="n">
        <v>5</v>
      </c>
      <c r="B89" s="75" t="n">
        <v>2511481</v>
      </c>
      <c r="C89" s="76" t="n">
        <v>42648</v>
      </c>
      <c r="D89" s="76" t="n">
        <v>0</v>
      </c>
      <c r="E89" s="76" t="n">
        <v>42648</v>
      </c>
      <c r="F89" s="75" t="n">
        <f aca="false">IF(D51="","",IF(5&gt;IF(D54="",10,D54),"",D51*(1+IF(D52="",0,D52))^ROUNDDOWN((5-1)/IF(D53="",5,D53),0)))</f>
        <v>42648</v>
      </c>
      <c r="G89" s="75" t="n">
        <f aca="false">IF(F89="","",IF((IF(D61="",IF($D$34="",0,$D$34),D61))=0,0,MAX(0,2511480.89-(IF(D62&lt;&gt;"",D62,IF($D$36&lt;&gt;"",$D$36,IF((IF(D61="",IF($D$34="",0,$D$34),D61))=0,0,D51/(IF(D61="",IF($D$34="",0,$D$34),D61)))))))*(IF(D61="",IF($D$34="",0,$D$34),D61))))</f>
        <v>0</v>
      </c>
      <c r="H89" s="75" t="n">
        <f aca="false">IF(F89="","",F89+G89)</f>
        <v>42648</v>
      </c>
      <c r="I89" s="75" t="str">
        <f aca="false">IF(E51="","",IF(5&gt;IF(E54="",10,E54),"",E51*(1+IF(E52="",0,E52))^ROUNDDOWN((5-1)/IF(E53="",5,E53),0)))</f>
        <v/>
      </c>
      <c r="J89" s="75" t="str">
        <f aca="false">IF(I89="","",IF((IF(E61="",IF($D$34="",0,$D$34),E61))=0,0,MAX(0,2511480.89-(IF(E62&lt;&gt;"",E62,IF($D$36&lt;&gt;"",$D$36,IF((IF(E61="",IF($D$34="",0,$D$34),E61))=0,0,E51/(IF(E61="",IF($D$34="",0,$D$34),E61)))))))*(IF(E61="",IF($D$34="",0,$D$34),E61))))</f>
        <v/>
      </c>
      <c r="K89" s="75" t="str">
        <f aca="false">IF(I89="","",I89+J89)</f>
        <v/>
      </c>
      <c r="L89" s="75" t="str">
        <f aca="false">IF(F51="","",IF(5&gt;IF(F54="",10,F54),"",F51*(1+IF(F52="",0,F52))^ROUNDDOWN((5-1)/IF(F53="",5,F53),0)))</f>
        <v/>
      </c>
      <c r="M89" s="75" t="str">
        <f aca="false">IF(L89="","",IF((IF(F61="",IF($D$34="",0,$D$34),F61))=0,0,MAX(0,2511480.89-(IF(F62&lt;&gt;"",F62,IF($D$36&lt;&gt;"",$D$36,IF((IF(F61="",IF($D$34="",0,$D$34),F61))=0,0,F51/(IF(F61="",IF($D$34="",0,$D$34),F61)))))))*(IF(F61="",IF($D$34="",0,$D$34),F61))))</f>
        <v/>
      </c>
      <c r="N89" s="75" t="str">
        <f aca="false">IF(L89="","",L89+M89)</f>
        <v/>
      </c>
      <c r="O89" s="75" t="str">
        <f aca="false">IF(G51="","",IF(5&gt;IF(G54="",10,G54),"",G51*(1+IF(G52="",0,G52))^ROUNDDOWN((5-1)/IF(G53="",5,G53),0)))</f>
        <v/>
      </c>
      <c r="P89" s="75" t="str">
        <f aca="false">IF(O89="","",IF((IF(G61="",IF($D$34="",0,$D$34),G61))=0,0,MAX(0,2511480.89-(IF(G62&lt;&gt;"",G62,IF($D$36&lt;&gt;"",$D$36,IF((IF(G61="",IF($D$34="",0,$D$34),G61))=0,0,G51/(IF(G61="",IF($D$34="",0,$D$34),G61)))))))*(IF(G61="",IF($D$34="",0,$D$34),G61))))</f>
        <v/>
      </c>
      <c r="Q89" s="75" t="str">
        <f aca="false">IF(O89="","",O89+P89)</f>
        <v/>
      </c>
      <c r="R89" s="75" t="str">
        <f aca="false">IF(H51="","",IF(5&gt;IF(H54="",10,H54),"",H51*(1+IF(H52="",0,H52))^ROUNDDOWN((5-1)/IF(H53="",5,H53),0)))</f>
        <v/>
      </c>
      <c r="S89" s="75" t="str">
        <f aca="false">IF(R89="","",IF((IF(H61="",IF($D$34="",0,$D$34),H61))=0,0,MAX(0,2511480.89-(IF(H62&lt;&gt;"",H62,IF($D$36&lt;&gt;"",$D$36,IF((IF(H61="",IF($D$34="",0,$D$34),H61))=0,0,H51/(IF(H61="",IF($D$34="",0,$D$34),H61)))))))*(IF(H61="",IF($D$34="",0,$D$34),H61))))</f>
        <v/>
      </c>
      <c r="T89" s="75" t="str">
        <f aca="false">IF(R89="","",R89+S89)</f>
        <v/>
      </c>
    </row>
    <row r="90" customFormat="false" ht="15" hidden="false" customHeight="false" outlineLevel="0" collapsed="false">
      <c r="A90" s="74" t="n">
        <v>6</v>
      </c>
      <c r="B90" s="75" t="n">
        <v>2561711</v>
      </c>
      <c r="C90" s="76" t="n">
        <v>42648</v>
      </c>
      <c r="D90" s="76" t="n">
        <v>0</v>
      </c>
      <c r="E90" s="76" t="n">
        <v>42648</v>
      </c>
      <c r="F90" s="75" t="n">
        <f aca="false">IF(D51="","",IF(6&gt;IF(D54="",10,D54),"",D51*(1+IF(D52="",0,D52))^ROUNDDOWN((6-1)/IF(D53="",5,D53),0)))</f>
        <v>43500.96</v>
      </c>
      <c r="G90" s="75" t="n">
        <f aca="false">IF(F90="","",IF((IF(D61="",IF($D$34="",0,$D$34),D61))=0,0,MAX(0,2561710.5-(IF(D62&lt;&gt;"",D62,IF($D$36&lt;&gt;"",$D$36,IF((IF(D61="",IF($D$34="",0,$D$34),D61))=0,0,D51/(IF(D61="",IF($D$34="",0,$D$34),D61)))))))*(IF(D61="",IF($D$34="",0,$D$34),D61))))</f>
        <v>0</v>
      </c>
      <c r="H90" s="75" t="n">
        <f aca="false">IF(F90="","",F90+G90)</f>
        <v>43500.96</v>
      </c>
      <c r="I90" s="75" t="str">
        <f aca="false">IF(E51="","",IF(6&gt;IF(E54="",10,E54),"",E51*(1+IF(E52="",0,E52))^ROUNDDOWN((6-1)/IF(E53="",5,E53),0)))</f>
        <v/>
      </c>
      <c r="J90" s="75" t="str">
        <f aca="false">IF(I90="","",IF((IF(E61="",IF($D$34="",0,$D$34),E61))=0,0,MAX(0,2561710.5-(IF(E62&lt;&gt;"",E62,IF($D$36&lt;&gt;"",$D$36,IF((IF(E61="",IF($D$34="",0,$D$34),E61))=0,0,E51/(IF(E61="",IF($D$34="",0,$D$34),E61)))))))*(IF(E61="",IF($D$34="",0,$D$34),E61))))</f>
        <v/>
      </c>
      <c r="K90" s="75" t="str">
        <f aca="false">IF(I90="","",I90+J90)</f>
        <v/>
      </c>
      <c r="L90" s="75" t="str">
        <f aca="false">IF(F51="","",IF(6&gt;IF(F54="",10,F54),"",F51*(1+IF(F52="",0,F52))^ROUNDDOWN((6-1)/IF(F53="",5,F53),0)))</f>
        <v/>
      </c>
      <c r="M90" s="75" t="str">
        <f aca="false">IF(L90="","",IF((IF(F61="",IF($D$34="",0,$D$34),F61))=0,0,MAX(0,2561710.5-(IF(F62&lt;&gt;"",F62,IF($D$36&lt;&gt;"",$D$36,IF((IF(F61="",IF($D$34="",0,$D$34),F61))=0,0,F51/(IF(F61="",IF($D$34="",0,$D$34),F61)))))))*(IF(F61="",IF($D$34="",0,$D$34),F61))))</f>
        <v/>
      </c>
      <c r="N90" s="75" t="str">
        <f aca="false">IF(L90="","",L90+M90)</f>
        <v/>
      </c>
      <c r="O90" s="75" t="str">
        <f aca="false">IF(G51="","",IF(6&gt;IF(G54="",10,G54),"",G51*(1+IF(G52="",0,G52))^ROUNDDOWN((6-1)/IF(G53="",5,G53),0)))</f>
        <v/>
      </c>
      <c r="P90" s="75" t="str">
        <f aca="false">IF(O90="","",IF((IF(G61="",IF($D$34="",0,$D$34),G61))=0,0,MAX(0,2561710.5-(IF(G62&lt;&gt;"",G62,IF($D$36&lt;&gt;"",$D$36,IF((IF(G61="",IF($D$34="",0,$D$34),G61))=0,0,G51/(IF(G61="",IF($D$34="",0,$D$34),G61)))))))*(IF(G61="",IF($D$34="",0,$D$34),G61))))</f>
        <v/>
      </c>
      <c r="Q90" s="75" t="str">
        <f aca="false">IF(O90="","",O90+P90)</f>
        <v/>
      </c>
      <c r="R90" s="75" t="str">
        <f aca="false">IF(H51="","",IF(6&gt;IF(H54="",10,H54),"",H51*(1+IF(H52="",0,H52))^ROUNDDOWN((6-1)/IF(H53="",5,H53),0)))</f>
        <v/>
      </c>
      <c r="S90" s="75" t="str">
        <f aca="false">IF(R90="","",IF((IF(H61="",IF($D$34="",0,$D$34),H61))=0,0,MAX(0,2561710.5-(IF(H62&lt;&gt;"",H62,IF($D$36&lt;&gt;"",$D$36,IF((IF(H61="",IF($D$34="",0,$D$34),H61))=0,0,H51/(IF(H61="",IF($D$34="",0,$D$34),H61)))))))*(IF(H61="",IF($D$34="",0,$D$34),H61))))</f>
        <v/>
      </c>
      <c r="T90" s="75" t="str">
        <f aca="false">IF(R90="","",R90+S90)</f>
        <v/>
      </c>
    </row>
    <row r="91" customFormat="false" ht="15" hidden="false" customHeight="false" outlineLevel="0" collapsed="false">
      <c r="A91" s="74" t="n">
        <v>7</v>
      </c>
      <c r="B91" s="75" t="n">
        <v>2612945</v>
      </c>
      <c r="C91" s="76" t="n">
        <v>42648</v>
      </c>
      <c r="D91" s="76" t="n">
        <v>0</v>
      </c>
      <c r="E91" s="76" t="n">
        <v>42648</v>
      </c>
      <c r="F91" s="75" t="n">
        <f aca="false">IF(D51="","",IF(7&gt;IF(D54="",10,D54),"",D51*(1+IF(D52="",0,D52))^ROUNDDOWN((7-1)/IF(D53="",5,D53),0)))</f>
        <v>43500.96</v>
      </c>
      <c r="G91" s="75" t="n">
        <f aca="false">IF(F91="","",IF((IF(D61="",IF($D$34="",0,$D$34),D61))=0,0,MAX(0,2612944.71-(IF(D62&lt;&gt;"",D62,IF($D$36&lt;&gt;"",$D$36,IF((IF(D61="",IF($D$34="",0,$D$34),D61))=0,0,D51/(IF(D61="",IF($D$34="",0,$D$34),D61)))))))*(IF(D61="",IF($D$34="",0,$D$34),D61))))</f>
        <v>0</v>
      </c>
      <c r="H91" s="75" t="n">
        <f aca="false">IF(F91="","",F91+G91)</f>
        <v>43500.96</v>
      </c>
      <c r="I91" s="75" t="str">
        <f aca="false">IF(E51="","",IF(7&gt;IF(E54="",10,E54),"",E51*(1+IF(E52="",0,E52))^ROUNDDOWN((7-1)/IF(E53="",5,E53),0)))</f>
        <v/>
      </c>
      <c r="J91" s="75" t="str">
        <f aca="false">IF(I91="","",IF((IF(E61="",IF($D$34="",0,$D$34),E61))=0,0,MAX(0,2612944.71-(IF(E62&lt;&gt;"",E62,IF($D$36&lt;&gt;"",$D$36,IF((IF(E61="",IF($D$34="",0,$D$34),E61))=0,0,E51/(IF(E61="",IF($D$34="",0,$D$34),E61)))))))*(IF(E61="",IF($D$34="",0,$D$34),E61))))</f>
        <v/>
      </c>
      <c r="K91" s="75" t="str">
        <f aca="false">IF(I91="","",I91+J91)</f>
        <v/>
      </c>
      <c r="L91" s="75" t="str">
        <f aca="false">IF(F51="","",IF(7&gt;IF(F54="",10,F54),"",F51*(1+IF(F52="",0,F52))^ROUNDDOWN((7-1)/IF(F53="",5,F53),0)))</f>
        <v/>
      </c>
      <c r="M91" s="75" t="str">
        <f aca="false">IF(L91="","",IF((IF(F61="",IF($D$34="",0,$D$34),F61))=0,0,MAX(0,2612944.71-(IF(F62&lt;&gt;"",F62,IF($D$36&lt;&gt;"",$D$36,IF((IF(F61="",IF($D$34="",0,$D$34),F61))=0,0,F51/(IF(F61="",IF($D$34="",0,$D$34),F61)))))))*(IF(F61="",IF($D$34="",0,$D$34),F61))))</f>
        <v/>
      </c>
      <c r="N91" s="75" t="str">
        <f aca="false">IF(L91="","",L91+M91)</f>
        <v/>
      </c>
      <c r="O91" s="75" t="str">
        <f aca="false">IF(G51="","",IF(7&gt;IF(G54="",10,G54),"",G51*(1+IF(G52="",0,G52))^ROUNDDOWN((7-1)/IF(G53="",5,G53),0)))</f>
        <v/>
      </c>
      <c r="P91" s="75" t="str">
        <f aca="false">IF(O91="","",IF((IF(G61="",IF($D$34="",0,$D$34),G61))=0,0,MAX(0,2612944.71-(IF(G62&lt;&gt;"",G62,IF($D$36&lt;&gt;"",$D$36,IF((IF(G61="",IF($D$34="",0,$D$34),G61))=0,0,G51/(IF(G61="",IF($D$34="",0,$D$34),G61)))))))*(IF(G61="",IF($D$34="",0,$D$34),G61))))</f>
        <v/>
      </c>
      <c r="Q91" s="75" t="str">
        <f aca="false">IF(O91="","",O91+P91)</f>
        <v/>
      </c>
      <c r="R91" s="75" t="str">
        <f aca="false">IF(H51="","",IF(7&gt;IF(H54="",10,H54),"",H51*(1+IF(H52="",0,H52))^ROUNDDOWN((7-1)/IF(H53="",5,H53),0)))</f>
        <v/>
      </c>
      <c r="S91" s="75" t="str">
        <f aca="false">IF(R91="","",IF((IF(H61="",IF($D$34="",0,$D$34),H61))=0,0,MAX(0,2612944.71-(IF(H62&lt;&gt;"",H62,IF($D$36&lt;&gt;"",$D$36,IF((IF(H61="",IF($D$34="",0,$D$34),H61))=0,0,H51/(IF(H61="",IF($D$34="",0,$D$34),H61)))))))*(IF(H61="",IF($D$34="",0,$D$34),H61))))</f>
        <v/>
      </c>
      <c r="T91" s="75" t="str">
        <f aca="false">IF(R91="","",R91+S91)</f>
        <v/>
      </c>
    </row>
    <row r="92" customFormat="false" ht="15" hidden="false" customHeight="false" outlineLevel="0" collapsed="false">
      <c r="A92" s="74" t="n">
        <v>8</v>
      </c>
      <c r="B92" s="75" t="n">
        <v>2665204</v>
      </c>
      <c r="C92" s="76" t="n">
        <v>42648</v>
      </c>
      <c r="D92" s="76" t="n">
        <v>0</v>
      </c>
      <c r="E92" s="76" t="n">
        <v>42648</v>
      </c>
      <c r="F92" s="75" t="n">
        <f aca="false">IF(D51="","",IF(8&gt;IF(D54="",10,D54),"",D51*(1+IF(D52="",0,D52))^ROUNDDOWN((8-1)/IF(D53="",5,D53),0)))</f>
        <v>43500.96</v>
      </c>
      <c r="G92" s="75" t="n">
        <f aca="false">IF(F92="","",IF((IF(D61="",IF($D$34="",0,$D$34),D61))=0,0,MAX(0,2665203.61-(IF(D62&lt;&gt;"",D62,IF($D$36&lt;&gt;"",$D$36,IF((IF(D61="",IF($D$34="",0,$D$34),D61))=0,0,D51/(IF(D61="",IF($D$34="",0,$D$34),D61)))))))*(IF(D61="",IF($D$34="",0,$D$34),D61))))</f>
        <v>0</v>
      </c>
      <c r="H92" s="75" t="n">
        <f aca="false">IF(F92="","",F92+G92)</f>
        <v>43500.96</v>
      </c>
      <c r="I92" s="75" t="str">
        <f aca="false">IF(E51="","",IF(8&gt;IF(E54="",10,E54),"",E51*(1+IF(E52="",0,E52))^ROUNDDOWN((8-1)/IF(E53="",5,E53),0)))</f>
        <v/>
      </c>
      <c r="J92" s="75" t="str">
        <f aca="false">IF(I92="","",IF((IF(E61="",IF($D$34="",0,$D$34),E61))=0,0,MAX(0,2665203.61-(IF(E62&lt;&gt;"",E62,IF($D$36&lt;&gt;"",$D$36,IF((IF(E61="",IF($D$34="",0,$D$34),E61))=0,0,E51/(IF(E61="",IF($D$34="",0,$D$34),E61)))))))*(IF(E61="",IF($D$34="",0,$D$34),E61))))</f>
        <v/>
      </c>
      <c r="K92" s="75" t="str">
        <f aca="false">IF(I92="","",I92+J92)</f>
        <v/>
      </c>
      <c r="L92" s="75" t="str">
        <f aca="false">IF(F51="","",IF(8&gt;IF(F54="",10,F54),"",F51*(1+IF(F52="",0,F52))^ROUNDDOWN((8-1)/IF(F53="",5,F53),0)))</f>
        <v/>
      </c>
      <c r="M92" s="75" t="str">
        <f aca="false">IF(L92="","",IF((IF(F61="",IF($D$34="",0,$D$34),F61))=0,0,MAX(0,2665203.61-(IF(F62&lt;&gt;"",F62,IF($D$36&lt;&gt;"",$D$36,IF((IF(F61="",IF($D$34="",0,$D$34),F61))=0,0,F51/(IF(F61="",IF($D$34="",0,$D$34),F61)))))))*(IF(F61="",IF($D$34="",0,$D$34),F61))))</f>
        <v/>
      </c>
      <c r="N92" s="75" t="str">
        <f aca="false">IF(L92="","",L92+M92)</f>
        <v/>
      </c>
      <c r="O92" s="75" t="str">
        <f aca="false">IF(G51="","",IF(8&gt;IF(G54="",10,G54),"",G51*(1+IF(G52="",0,G52))^ROUNDDOWN((8-1)/IF(G53="",5,G53),0)))</f>
        <v/>
      </c>
      <c r="P92" s="75" t="str">
        <f aca="false">IF(O92="","",IF((IF(G61="",IF($D$34="",0,$D$34),G61))=0,0,MAX(0,2665203.61-(IF(G62&lt;&gt;"",G62,IF($D$36&lt;&gt;"",$D$36,IF((IF(G61="",IF($D$34="",0,$D$34),G61))=0,0,G51/(IF(G61="",IF($D$34="",0,$D$34),G61)))))))*(IF(G61="",IF($D$34="",0,$D$34),G61))))</f>
        <v/>
      </c>
      <c r="Q92" s="75" t="str">
        <f aca="false">IF(O92="","",O92+P92)</f>
        <v/>
      </c>
      <c r="R92" s="75" t="str">
        <f aca="false">IF(H51="","",IF(8&gt;IF(H54="",10,H54),"",H51*(1+IF(H52="",0,H52))^ROUNDDOWN((8-1)/IF(H53="",5,H53),0)))</f>
        <v/>
      </c>
      <c r="S92" s="75" t="str">
        <f aca="false">IF(R92="","",IF((IF(H61="",IF($D$34="",0,$D$34),H61))=0,0,MAX(0,2665203.61-(IF(H62&lt;&gt;"",H62,IF($D$36&lt;&gt;"",$D$36,IF((IF(H61="",IF($D$34="",0,$D$34),H61))=0,0,H51/(IF(H61="",IF($D$34="",0,$D$34),H61)))))))*(IF(H61="",IF($D$34="",0,$D$34),H61))))</f>
        <v/>
      </c>
      <c r="T92" s="75" t="str">
        <f aca="false">IF(R92="","",R92+S92)</f>
        <v/>
      </c>
    </row>
    <row r="93" customFormat="false" ht="15" hidden="false" customHeight="false" outlineLevel="0" collapsed="false">
      <c r="A93" s="74" t="n">
        <v>9</v>
      </c>
      <c r="B93" s="75" t="n">
        <v>2718508</v>
      </c>
      <c r="C93" s="76" t="n">
        <v>42648</v>
      </c>
      <c r="D93" s="76" t="n">
        <v>0</v>
      </c>
      <c r="E93" s="76" t="n">
        <v>42648</v>
      </c>
      <c r="F93" s="75" t="n">
        <f aca="false">IF(D51="","",IF(9&gt;IF(D54="",10,D54),"",D51*(1+IF(D52="",0,D52))^ROUNDDOWN((9-1)/IF(D53="",5,D53),0)))</f>
        <v>43500.96</v>
      </c>
      <c r="G93" s="75" t="n">
        <f aca="false">IF(F93="","",IF((IF(D61="",IF($D$34="",0,$D$34),D61))=0,0,MAX(0,2718507.68-(IF(D62&lt;&gt;"",D62,IF($D$36&lt;&gt;"",$D$36,IF((IF(D61="",IF($D$34="",0,$D$34),D61))=0,0,D51/(IF(D61="",IF($D$34="",0,$D$34),D61)))))))*(IF(D61="",IF($D$34="",0,$D$34),D61))))</f>
        <v>0</v>
      </c>
      <c r="H93" s="75" t="n">
        <f aca="false">IF(F93="","",F93+G93)</f>
        <v>43500.96</v>
      </c>
      <c r="I93" s="75" t="str">
        <f aca="false">IF(E51="","",IF(9&gt;IF(E54="",10,E54),"",E51*(1+IF(E52="",0,E52))^ROUNDDOWN((9-1)/IF(E53="",5,E53),0)))</f>
        <v/>
      </c>
      <c r="J93" s="75" t="str">
        <f aca="false">IF(I93="","",IF((IF(E61="",IF($D$34="",0,$D$34),E61))=0,0,MAX(0,2718507.68-(IF(E62&lt;&gt;"",E62,IF($D$36&lt;&gt;"",$D$36,IF((IF(E61="",IF($D$34="",0,$D$34),E61))=0,0,E51/(IF(E61="",IF($D$34="",0,$D$34),E61)))))))*(IF(E61="",IF($D$34="",0,$D$34),E61))))</f>
        <v/>
      </c>
      <c r="K93" s="75" t="str">
        <f aca="false">IF(I93="","",I93+J93)</f>
        <v/>
      </c>
      <c r="L93" s="75" t="str">
        <f aca="false">IF(F51="","",IF(9&gt;IF(F54="",10,F54),"",F51*(1+IF(F52="",0,F52))^ROUNDDOWN((9-1)/IF(F53="",5,F53),0)))</f>
        <v/>
      </c>
      <c r="M93" s="75" t="str">
        <f aca="false">IF(L93="","",IF((IF(F61="",IF($D$34="",0,$D$34),F61))=0,0,MAX(0,2718507.68-(IF(F62&lt;&gt;"",F62,IF($D$36&lt;&gt;"",$D$36,IF((IF(F61="",IF($D$34="",0,$D$34),F61))=0,0,F51/(IF(F61="",IF($D$34="",0,$D$34),F61)))))))*(IF(F61="",IF($D$34="",0,$D$34),F61))))</f>
        <v/>
      </c>
      <c r="N93" s="75" t="str">
        <f aca="false">IF(L93="","",L93+M93)</f>
        <v/>
      </c>
      <c r="O93" s="75" t="str">
        <f aca="false">IF(G51="","",IF(9&gt;IF(G54="",10,G54),"",G51*(1+IF(G52="",0,G52))^ROUNDDOWN((9-1)/IF(G53="",5,G53),0)))</f>
        <v/>
      </c>
      <c r="P93" s="75" t="str">
        <f aca="false">IF(O93="","",IF((IF(G61="",IF($D$34="",0,$D$34),G61))=0,0,MAX(0,2718507.68-(IF(G62&lt;&gt;"",G62,IF($D$36&lt;&gt;"",$D$36,IF((IF(G61="",IF($D$34="",0,$D$34),G61))=0,0,G51/(IF(G61="",IF($D$34="",0,$D$34),G61)))))))*(IF(G61="",IF($D$34="",0,$D$34),G61))))</f>
        <v/>
      </c>
      <c r="Q93" s="75" t="str">
        <f aca="false">IF(O93="","",O93+P93)</f>
        <v/>
      </c>
      <c r="R93" s="75" t="str">
        <f aca="false">IF(H51="","",IF(9&gt;IF(H54="",10,H54),"",H51*(1+IF(H52="",0,H52))^ROUNDDOWN((9-1)/IF(H53="",5,H53),0)))</f>
        <v/>
      </c>
      <c r="S93" s="75" t="str">
        <f aca="false">IF(R93="","",IF((IF(H61="",IF($D$34="",0,$D$34),H61))=0,0,MAX(0,2718507.68-(IF(H62&lt;&gt;"",H62,IF($D$36&lt;&gt;"",$D$36,IF((IF(H61="",IF($D$34="",0,$D$34),H61))=0,0,H51/(IF(H61="",IF($D$34="",0,$D$34),H61)))))))*(IF(H61="",IF($D$34="",0,$D$34),H61))))</f>
        <v/>
      </c>
      <c r="T93" s="75" t="str">
        <f aca="false">IF(R93="","",R93+S93)</f>
        <v/>
      </c>
    </row>
    <row r="94" customFormat="false" ht="15" hidden="false" customHeight="false" outlineLevel="0" collapsed="false">
      <c r="A94" s="74" t="n">
        <v>10</v>
      </c>
      <c r="B94" s="75" t="n">
        <v>2772878</v>
      </c>
      <c r="C94" s="76" t="n">
        <v>42648</v>
      </c>
      <c r="D94" s="76" t="n">
        <v>0</v>
      </c>
      <c r="E94" s="76" t="n">
        <v>42648</v>
      </c>
      <c r="F94" s="75" t="n">
        <f aca="false">IF(D51="","",IF(10&gt;IF(D54="",10,D54),"",D51*(1+IF(D52="",0,D52))^ROUNDDOWN((10-1)/IF(D53="",5,D53),0)))</f>
        <v>43500.96</v>
      </c>
      <c r="G94" s="75" t="n">
        <f aca="false">IF(F94="","",IF((IF(D61="",IF($D$34="",0,$D$34),D61))=0,0,MAX(0,2772877.83-(IF(D62&lt;&gt;"",D62,IF($D$36&lt;&gt;"",$D$36,IF((IF(D61="",IF($D$34="",0,$D$34),D61))=0,0,D51/(IF(D61="",IF($D$34="",0,$D$34),D61)))))))*(IF(D61="",IF($D$34="",0,$D$34),D61))))</f>
        <v>0</v>
      </c>
      <c r="H94" s="75" t="n">
        <f aca="false">IF(F94="","",F94+G94)</f>
        <v>43500.96</v>
      </c>
      <c r="I94" s="75" t="str">
        <f aca="false">IF(E51="","",IF(10&gt;IF(E54="",10,E54),"",E51*(1+IF(E52="",0,E52))^ROUNDDOWN((10-1)/IF(E53="",5,E53),0)))</f>
        <v/>
      </c>
      <c r="J94" s="75" t="str">
        <f aca="false">IF(I94="","",IF((IF(E61="",IF($D$34="",0,$D$34),E61))=0,0,MAX(0,2772877.83-(IF(E62&lt;&gt;"",E62,IF($D$36&lt;&gt;"",$D$36,IF((IF(E61="",IF($D$34="",0,$D$34),E61))=0,0,E51/(IF(E61="",IF($D$34="",0,$D$34),E61)))))))*(IF(E61="",IF($D$34="",0,$D$34),E61))))</f>
        <v/>
      </c>
      <c r="K94" s="75" t="str">
        <f aca="false">IF(I94="","",I94+J94)</f>
        <v/>
      </c>
      <c r="L94" s="75" t="str">
        <f aca="false">IF(F51="","",IF(10&gt;IF(F54="",10,F54),"",F51*(1+IF(F52="",0,F52))^ROUNDDOWN((10-1)/IF(F53="",5,F53),0)))</f>
        <v/>
      </c>
      <c r="M94" s="75" t="str">
        <f aca="false">IF(L94="","",IF((IF(F61="",IF($D$34="",0,$D$34),F61))=0,0,MAX(0,2772877.83-(IF(F62&lt;&gt;"",F62,IF($D$36&lt;&gt;"",$D$36,IF((IF(F61="",IF($D$34="",0,$D$34),F61))=0,0,F51/(IF(F61="",IF($D$34="",0,$D$34),F61)))))))*(IF(F61="",IF($D$34="",0,$D$34),F61))))</f>
        <v/>
      </c>
      <c r="N94" s="75" t="str">
        <f aca="false">IF(L94="","",L94+M94)</f>
        <v/>
      </c>
      <c r="O94" s="75" t="str">
        <f aca="false">IF(G51="","",IF(10&gt;IF(G54="",10,G54),"",G51*(1+IF(G52="",0,G52))^ROUNDDOWN((10-1)/IF(G53="",5,G53),0)))</f>
        <v/>
      </c>
      <c r="P94" s="75" t="str">
        <f aca="false">IF(O94="","",IF((IF(G61="",IF($D$34="",0,$D$34),G61))=0,0,MAX(0,2772877.83-(IF(G62&lt;&gt;"",G62,IF($D$36&lt;&gt;"",$D$36,IF((IF(G61="",IF($D$34="",0,$D$34),G61))=0,0,G51/(IF(G61="",IF($D$34="",0,$D$34),G61)))))))*(IF(G61="",IF($D$34="",0,$D$34),G61))))</f>
        <v/>
      </c>
      <c r="Q94" s="75" t="str">
        <f aca="false">IF(O94="","",O94+P94)</f>
        <v/>
      </c>
      <c r="R94" s="75" t="str">
        <f aca="false">IF(H51="","",IF(10&gt;IF(H54="",10,H54),"",H51*(1+IF(H52="",0,H52))^ROUNDDOWN((10-1)/IF(H53="",5,H53),0)))</f>
        <v/>
      </c>
      <c r="S94" s="75" t="str">
        <f aca="false">IF(R94="","",IF((IF(H61="",IF($D$34="",0,$D$34),H61))=0,0,MAX(0,2772877.83-(IF(H62&lt;&gt;"",H62,IF($D$36&lt;&gt;"",$D$36,IF((IF(H61="",IF($D$34="",0,$D$34),H61))=0,0,H51/(IF(H61="",IF($D$34="",0,$D$34),H61)))))))*(IF(H61="",IF($D$34="",0,$D$34),H61))))</f>
        <v/>
      </c>
      <c r="T94" s="75" t="str">
        <f aca="false">IF(R94="","",R94+S94)</f>
        <v/>
      </c>
    </row>
    <row r="95" customFormat="false" ht="15" hidden="false" customHeight="false" outlineLevel="0" collapsed="false">
      <c r="A95" s="74" t="n">
        <v>11</v>
      </c>
      <c r="B95" s="75" t="n">
        <v>2828335</v>
      </c>
      <c r="C95" s="76" t="n">
        <v>42648</v>
      </c>
      <c r="D95" s="76" t="n">
        <v>0</v>
      </c>
      <c r="E95" s="76" t="n">
        <v>42648</v>
      </c>
      <c r="F95" s="75" t="n">
        <f aca="false">IF(D51="","",IF(11&gt;IF(D54="",10,D54),"",D51*(1+IF(D52="",0,D52))^ROUNDDOWN((11-1)/IF(D53="",5,D53),0)))</f>
        <v>44370.9792</v>
      </c>
      <c r="G95" s="75" t="n">
        <f aca="false">IF(F95="","",IF((IF(D61="",IF($D$34="",0,$D$34),D61))=0,0,MAX(0,2828335.39-(IF(D62&lt;&gt;"",D62,IF($D$36&lt;&gt;"",$D$36,IF((IF(D61="",IF($D$34="",0,$D$34),D61))=0,0,D51/(IF(D61="",IF($D$34="",0,$D$34),D61)))))))*(IF(D61="",IF($D$34="",0,$D$34),D61))))</f>
        <v>0</v>
      </c>
      <c r="H95" s="75" t="n">
        <f aca="false">IF(F95="","",F95+G95)</f>
        <v>44370.9792</v>
      </c>
      <c r="I95" s="75" t="str">
        <f aca="false">IF(E51="","",IF(11&gt;IF(E54="",10,E54),"",E51*(1+IF(E52="",0,E52))^ROUNDDOWN((11-1)/IF(E53="",5,E53),0)))</f>
        <v/>
      </c>
      <c r="J95" s="75" t="str">
        <f aca="false">IF(I95="","",IF((IF(E61="",IF($D$34="",0,$D$34),E61))=0,0,MAX(0,2828335.39-(IF(E62&lt;&gt;"",E62,IF($D$36&lt;&gt;"",$D$36,IF((IF(E61="",IF($D$34="",0,$D$34),E61))=0,0,E51/(IF(E61="",IF($D$34="",0,$D$34),E61)))))))*(IF(E61="",IF($D$34="",0,$D$34),E61))))</f>
        <v/>
      </c>
      <c r="K95" s="75" t="str">
        <f aca="false">IF(I95="","",I95+J95)</f>
        <v/>
      </c>
      <c r="L95" s="75" t="str">
        <f aca="false">IF(F51="","",IF(11&gt;IF(F54="",10,F54),"",F51*(1+IF(F52="",0,F52))^ROUNDDOWN((11-1)/IF(F53="",5,F53),0)))</f>
        <v/>
      </c>
      <c r="M95" s="75" t="str">
        <f aca="false">IF(L95="","",IF((IF(F61="",IF($D$34="",0,$D$34),F61))=0,0,MAX(0,2828335.39-(IF(F62&lt;&gt;"",F62,IF($D$36&lt;&gt;"",$D$36,IF((IF(F61="",IF($D$34="",0,$D$34),F61))=0,0,F51/(IF(F61="",IF($D$34="",0,$D$34),F61)))))))*(IF(F61="",IF($D$34="",0,$D$34),F61))))</f>
        <v/>
      </c>
      <c r="N95" s="75" t="str">
        <f aca="false">IF(L95="","",L95+M95)</f>
        <v/>
      </c>
      <c r="O95" s="75" t="str">
        <f aca="false">IF(G51="","",IF(11&gt;IF(G54="",10,G54),"",G51*(1+IF(G52="",0,G52))^ROUNDDOWN((11-1)/IF(G53="",5,G53),0)))</f>
        <v/>
      </c>
      <c r="P95" s="75" t="str">
        <f aca="false">IF(O95="","",IF((IF(G61="",IF($D$34="",0,$D$34),G61))=0,0,MAX(0,2828335.39-(IF(G62&lt;&gt;"",G62,IF($D$36&lt;&gt;"",$D$36,IF((IF(G61="",IF($D$34="",0,$D$34),G61))=0,0,G51/(IF(G61="",IF($D$34="",0,$D$34),G61)))))))*(IF(G61="",IF($D$34="",0,$D$34),G61))))</f>
        <v/>
      </c>
      <c r="Q95" s="75" t="str">
        <f aca="false">IF(O95="","",O95+P95)</f>
        <v/>
      </c>
      <c r="R95" s="75" t="str">
        <f aca="false">IF(H51="","",IF(11&gt;IF(H54="",10,H54),"",H51*(1+IF(H52="",0,H52))^ROUNDDOWN((11-1)/IF(H53="",5,H53),0)))</f>
        <v/>
      </c>
      <c r="S95" s="75" t="str">
        <f aca="false">IF(R95="","",IF((IF(H61="",IF($D$34="",0,$D$34),H61))=0,0,MAX(0,2828335.39-(IF(H62&lt;&gt;"",H62,IF($D$36&lt;&gt;"",$D$36,IF((IF(H61="",IF($D$34="",0,$D$34),H61))=0,0,H51/(IF(H61="",IF($D$34="",0,$D$34),H61)))))))*(IF(H61="",IF($D$34="",0,$D$34),H61))))</f>
        <v/>
      </c>
      <c r="T95" s="75" t="str">
        <f aca="false">IF(R95="","",R95+S95)</f>
        <v/>
      </c>
    </row>
    <row r="96" customFormat="false" ht="15" hidden="false" customHeight="false" outlineLevel="0" collapsed="false">
      <c r="A96" s="74" t="n">
        <v>12</v>
      </c>
      <c r="B96" s="75" t="n">
        <v>2884902</v>
      </c>
      <c r="C96" s="76" t="n">
        <v>42648</v>
      </c>
      <c r="D96" s="76" t="n">
        <v>0</v>
      </c>
      <c r="E96" s="76" t="n">
        <v>42648</v>
      </c>
      <c r="F96" s="75" t="n">
        <f aca="false">IF(D51="","",IF(12&gt;IF(D54="",10,D54),"",D51*(1+IF(D52="",0,D52))^ROUNDDOWN((12-1)/IF(D53="",5,D53),0)))</f>
        <v>44370.9792</v>
      </c>
      <c r="G96" s="75" t="n">
        <f aca="false">IF(F96="","",IF((IF(D61="",IF($D$34="",0,$D$34),D61))=0,0,MAX(0,2884902.1-(IF(D62&lt;&gt;"",D62,IF($D$36&lt;&gt;"",$D$36,IF((IF(D61="",IF($D$34="",0,$D$34),D61))=0,0,D51/(IF(D61="",IF($D$34="",0,$D$34),D61)))))))*(IF(D61="",IF($D$34="",0,$D$34),D61))))</f>
        <v>0</v>
      </c>
      <c r="H96" s="75" t="n">
        <f aca="false">IF(F96="","",F96+G96)</f>
        <v>44370.9792</v>
      </c>
      <c r="I96" s="75" t="str">
        <f aca="false">IF(E51="","",IF(12&gt;IF(E54="",10,E54),"",E51*(1+IF(E52="",0,E52))^ROUNDDOWN((12-1)/IF(E53="",5,E53),0)))</f>
        <v/>
      </c>
      <c r="J96" s="75" t="str">
        <f aca="false">IF(I96="","",IF((IF(E61="",IF($D$34="",0,$D$34),E61))=0,0,MAX(0,2884902.1-(IF(E62&lt;&gt;"",E62,IF($D$36&lt;&gt;"",$D$36,IF((IF(E61="",IF($D$34="",0,$D$34),E61))=0,0,E51/(IF(E61="",IF($D$34="",0,$D$34),E61)))))))*(IF(E61="",IF($D$34="",0,$D$34),E61))))</f>
        <v/>
      </c>
      <c r="K96" s="75" t="str">
        <f aca="false">IF(I96="","",I96+J96)</f>
        <v/>
      </c>
      <c r="L96" s="75" t="str">
        <f aca="false">IF(F51="","",IF(12&gt;IF(F54="",10,F54),"",F51*(1+IF(F52="",0,F52))^ROUNDDOWN((12-1)/IF(F53="",5,F53),0)))</f>
        <v/>
      </c>
      <c r="M96" s="75" t="str">
        <f aca="false">IF(L96="","",IF((IF(F61="",IF($D$34="",0,$D$34),F61))=0,0,MAX(0,2884902.1-(IF(F62&lt;&gt;"",F62,IF($D$36&lt;&gt;"",$D$36,IF((IF(F61="",IF($D$34="",0,$D$34),F61))=0,0,F51/(IF(F61="",IF($D$34="",0,$D$34),F61)))))))*(IF(F61="",IF($D$34="",0,$D$34),F61))))</f>
        <v/>
      </c>
      <c r="N96" s="75" t="str">
        <f aca="false">IF(L96="","",L96+M96)</f>
        <v/>
      </c>
      <c r="O96" s="75" t="str">
        <f aca="false">IF(G51="","",IF(12&gt;IF(G54="",10,G54),"",G51*(1+IF(G52="",0,G52))^ROUNDDOWN((12-1)/IF(G53="",5,G53),0)))</f>
        <v/>
      </c>
      <c r="P96" s="75" t="str">
        <f aca="false">IF(O96="","",IF((IF(G61="",IF($D$34="",0,$D$34),G61))=0,0,MAX(0,2884902.1-(IF(G62&lt;&gt;"",G62,IF($D$36&lt;&gt;"",$D$36,IF((IF(G61="",IF($D$34="",0,$D$34),G61))=0,0,G51/(IF(G61="",IF($D$34="",0,$D$34),G61)))))))*(IF(G61="",IF($D$34="",0,$D$34),G61))))</f>
        <v/>
      </c>
      <c r="Q96" s="75" t="str">
        <f aca="false">IF(O96="","",O96+P96)</f>
        <v/>
      </c>
      <c r="R96" s="75" t="str">
        <f aca="false">IF(H51="","",IF(12&gt;IF(H54="",10,H54),"",H51*(1+IF(H52="",0,H52))^ROUNDDOWN((12-1)/IF(H53="",5,H53),0)))</f>
        <v/>
      </c>
      <c r="S96" s="75" t="str">
        <f aca="false">IF(R96="","",IF((IF(H61="",IF($D$34="",0,$D$34),H61))=0,0,MAX(0,2884902.1-(IF(H62&lt;&gt;"",H62,IF($D$36&lt;&gt;"",$D$36,IF((IF(H61="",IF($D$34="",0,$D$34),H61))=0,0,H51/(IF(H61="",IF($D$34="",0,$D$34),H61)))))))*(IF(H61="",IF($D$34="",0,$D$34),H61))))</f>
        <v/>
      </c>
      <c r="T96" s="75" t="str">
        <f aca="false">IF(R96="","",R96+S96)</f>
        <v/>
      </c>
    </row>
    <row r="97" customFormat="false" ht="15" hidden="false" customHeight="false" outlineLevel="0" collapsed="false">
      <c r="A97" s="74" t="n">
        <v>13</v>
      </c>
      <c r="B97" s="75" t="n">
        <v>2942600</v>
      </c>
      <c r="C97" s="76" t="n">
        <v>42648</v>
      </c>
      <c r="D97" s="76" t="n">
        <v>0</v>
      </c>
      <c r="E97" s="76" t="n">
        <v>42648</v>
      </c>
      <c r="F97" s="75" t="n">
        <f aca="false">IF(D51="","",IF(13&gt;IF(D54="",10,D54),"",D51*(1+IF(D52="",0,D52))^ROUNDDOWN((13-1)/IF(D53="",5,D53),0)))</f>
        <v>44370.9792</v>
      </c>
      <c r="G97" s="75" t="n">
        <f aca="false">IF(F97="","",IF((IF(D61="",IF($D$34="",0,$D$34),D61))=0,0,MAX(0,2942600.14-(IF(D62&lt;&gt;"",D62,IF($D$36&lt;&gt;"",$D$36,IF((IF(D61="",IF($D$34="",0,$D$34),D61))=0,0,D51/(IF(D61="",IF($D$34="",0,$D$34),D61)))))))*(IF(D61="",IF($D$34="",0,$D$34),D61))))</f>
        <v>0</v>
      </c>
      <c r="H97" s="75" t="n">
        <f aca="false">IF(F97="","",F97+G97)</f>
        <v>44370.9792</v>
      </c>
      <c r="I97" s="75" t="str">
        <f aca="false">IF(E51="","",IF(13&gt;IF(E54="",10,E54),"",E51*(1+IF(E52="",0,E52))^ROUNDDOWN((13-1)/IF(E53="",5,E53),0)))</f>
        <v/>
      </c>
      <c r="J97" s="75" t="str">
        <f aca="false">IF(I97="","",IF((IF(E61="",IF($D$34="",0,$D$34),E61))=0,0,MAX(0,2942600.14-(IF(E62&lt;&gt;"",E62,IF($D$36&lt;&gt;"",$D$36,IF((IF(E61="",IF($D$34="",0,$D$34),E61))=0,0,E51/(IF(E61="",IF($D$34="",0,$D$34),E61)))))))*(IF(E61="",IF($D$34="",0,$D$34),E61))))</f>
        <v/>
      </c>
      <c r="K97" s="75" t="str">
        <f aca="false">IF(I97="","",I97+J97)</f>
        <v/>
      </c>
      <c r="L97" s="75" t="str">
        <f aca="false">IF(F51="","",IF(13&gt;IF(F54="",10,F54),"",F51*(1+IF(F52="",0,F52))^ROUNDDOWN((13-1)/IF(F53="",5,F53),0)))</f>
        <v/>
      </c>
      <c r="M97" s="75" t="str">
        <f aca="false">IF(L97="","",IF((IF(F61="",IF($D$34="",0,$D$34),F61))=0,0,MAX(0,2942600.14-(IF(F62&lt;&gt;"",F62,IF($D$36&lt;&gt;"",$D$36,IF((IF(F61="",IF($D$34="",0,$D$34),F61))=0,0,F51/(IF(F61="",IF($D$34="",0,$D$34),F61)))))))*(IF(F61="",IF($D$34="",0,$D$34),F61))))</f>
        <v/>
      </c>
      <c r="N97" s="75" t="str">
        <f aca="false">IF(L97="","",L97+M97)</f>
        <v/>
      </c>
      <c r="O97" s="75" t="str">
        <f aca="false">IF(G51="","",IF(13&gt;IF(G54="",10,G54),"",G51*(1+IF(G52="",0,G52))^ROUNDDOWN((13-1)/IF(G53="",5,G53),0)))</f>
        <v/>
      </c>
      <c r="P97" s="75" t="str">
        <f aca="false">IF(O97="","",IF((IF(G61="",IF($D$34="",0,$D$34),G61))=0,0,MAX(0,2942600.14-(IF(G62&lt;&gt;"",G62,IF($D$36&lt;&gt;"",$D$36,IF((IF(G61="",IF($D$34="",0,$D$34),G61))=0,0,G51/(IF(G61="",IF($D$34="",0,$D$34),G61)))))))*(IF(G61="",IF($D$34="",0,$D$34),G61))))</f>
        <v/>
      </c>
      <c r="Q97" s="75" t="str">
        <f aca="false">IF(O97="","",O97+P97)</f>
        <v/>
      </c>
      <c r="R97" s="75" t="str">
        <f aca="false">IF(H51="","",IF(13&gt;IF(H54="",10,H54),"",H51*(1+IF(H52="",0,H52))^ROUNDDOWN((13-1)/IF(H53="",5,H53),0)))</f>
        <v/>
      </c>
      <c r="S97" s="75" t="str">
        <f aca="false">IF(R97="","",IF((IF(H61="",IF($D$34="",0,$D$34),H61))=0,0,MAX(0,2942600.14-(IF(H62&lt;&gt;"",H62,IF($D$36&lt;&gt;"",$D$36,IF((IF(H61="",IF($D$34="",0,$D$34),H61))=0,0,H51/(IF(H61="",IF($D$34="",0,$D$34),H61)))))))*(IF(H61="",IF($D$34="",0,$D$34),H61))))</f>
        <v/>
      </c>
      <c r="T97" s="75" t="str">
        <f aca="false">IF(R97="","",R97+S97)</f>
        <v/>
      </c>
    </row>
    <row r="98" customFormat="false" ht="15" hidden="false" customHeight="false" outlineLevel="0" collapsed="false">
      <c r="A98" s="74" t="n">
        <v>14</v>
      </c>
      <c r="B98" s="75" t="n">
        <v>3001452</v>
      </c>
      <c r="C98" s="76" t="n">
        <v>42648</v>
      </c>
      <c r="D98" s="76" t="n">
        <v>0</v>
      </c>
      <c r="E98" s="76" t="n">
        <v>42648</v>
      </c>
      <c r="F98" s="75" t="n">
        <f aca="false">IF(D51="","",IF(14&gt;IF(D54="",10,D54),"",D51*(1+IF(D52="",0,D52))^ROUNDDOWN((14-1)/IF(D53="",5,D53),0)))</f>
        <v>44370.9792</v>
      </c>
      <c r="G98" s="75" t="n">
        <f aca="false">IF(F98="","",IF((IF(D61="",IF($D$34="",0,$D$34),D61))=0,0,MAX(0,3001452.14-(IF(D62&lt;&gt;"",D62,IF($D$36&lt;&gt;"",$D$36,IF((IF(D61="",IF($D$34="",0,$D$34),D61))=0,0,D51/(IF(D61="",IF($D$34="",0,$D$34),D61)))))))*(IF(D61="",IF($D$34="",0,$D$34),D61))))</f>
        <v>0</v>
      </c>
      <c r="H98" s="75" t="n">
        <f aca="false">IF(F98="","",F98+G98)</f>
        <v>44370.9792</v>
      </c>
      <c r="I98" s="75" t="str">
        <f aca="false">IF(E51="","",IF(14&gt;IF(E54="",10,E54),"",E51*(1+IF(E52="",0,E52))^ROUNDDOWN((14-1)/IF(E53="",5,E53),0)))</f>
        <v/>
      </c>
      <c r="J98" s="75" t="str">
        <f aca="false">IF(I98="","",IF((IF(E61="",IF($D$34="",0,$D$34),E61))=0,0,MAX(0,3001452.14-(IF(E62&lt;&gt;"",E62,IF($D$36&lt;&gt;"",$D$36,IF((IF(E61="",IF($D$34="",0,$D$34),E61))=0,0,E51/(IF(E61="",IF($D$34="",0,$D$34),E61)))))))*(IF(E61="",IF($D$34="",0,$D$34),E61))))</f>
        <v/>
      </c>
      <c r="K98" s="75" t="str">
        <f aca="false">IF(I98="","",I98+J98)</f>
        <v/>
      </c>
      <c r="L98" s="75" t="str">
        <f aca="false">IF(F51="","",IF(14&gt;IF(F54="",10,F54),"",F51*(1+IF(F52="",0,F52))^ROUNDDOWN((14-1)/IF(F53="",5,F53),0)))</f>
        <v/>
      </c>
      <c r="M98" s="75" t="str">
        <f aca="false">IF(L98="","",IF((IF(F61="",IF($D$34="",0,$D$34),F61))=0,0,MAX(0,3001452.14-(IF(F62&lt;&gt;"",F62,IF($D$36&lt;&gt;"",$D$36,IF((IF(F61="",IF($D$34="",0,$D$34),F61))=0,0,F51/(IF(F61="",IF($D$34="",0,$D$34),F61)))))))*(IF(F61="",IF($D$34="",0,$D$34),F61))))</f>
        <v/>
      </c>
      <c r="N98" s="75" t="str">
        <f aca="false">IF(L98="","",L98+M98)</f>
        <v/>
      </c>
      <c r="O98" s="75" t="str">
        <f aca="false">IF(G51="","",IF(14&gt;IF(G54="",10,G54),"",G51*(1+IF(G52="",0,G52))^ROUNDDOWN((14-1)/IF(G53="",5,G53),0)))</f>
        <v/>
      </c>
      <c r="P98" s="75" t="str">
        <f aca="false">IF(O98="","",IF((IF(G61="",IF($D$34="",0,$D$34),G61))=0,0,MAX(0,3001452.14-(IF(G62&lt;&gt;"",G62,IF($D$36&lt;&gt;"",$D$36,IF((IF(G61="",IF($D$34="",0,$D$34),G61))=0,0,G51/(IF(G61="",IF($D$34="",0,$D$34),G61)))))))*(IF(G61="",IF($D$34="",0,$D$34),G61))))</f>
        <v/>
      </c>
      <c r="Q98" s="75" t="str">
        <f aca="false">IF(O98="","",O98+P98)</f>
        <v/>
      </c>
      <c r="R98" s="75" t="str">
        <f aca="false">IF(H51="","",IF(14&gt;IF(H54="",10,H54),"",H51*(1+IF(H52="",0,H52))^ROUNDDOWN((14-1)/IF(H53="",5,H53),0)))</f>
        <v/>
      </c>
      <c r="S98" s="75" t="str">
        <f aca="false">IF(R98="","",IF((IF(H61="",IF($D$34="",0,$D$34),H61))=0,0,MAX(0,3001452.14-(IF(H62&lt;&gt;"",H62,IF($D$36&lt;&gt;"",$D$36,IF((IF(H61="",IF($D$34="",0,$D$34),H61))=0,0,H51/(IF(H61="",IF($D$34="",0,$D$34),H61)))))))*(IF(H61="",IF($D$34="",0,$D$34),H61))))</f>
        <v/>
      </c>
      <c r="T98" s="75" t="str">
        <f aca="false">IF(R98="","",R98+S98)</f>
        <v/>
      </c>
    </row>
    <row r="99" customFormat="false" ht="15" hidden="false" customHeight="false" outlineLevel="0" collapsed="false">
      <c r="A99" s="74" t="n">
        <v>15</v>
      </c>
      <c r="B99" s="75" t="n">
        <v>3061481</v>
      </c>
      <c r="C99" s="76" t="n">
        <v>42648</v>
      </c>
      <c r="D99" s="76" t="n">
        <v>0</v>
      </c>
      <c r="E99" s="76" t="n">
        <v>42648</v>
      </c>
      <c r="F99" s="75" t="n">
        <f aca="false">IF(D51="","",IF(15&gt;IF(D54="",10,D54),"",D51*(1+IF(D52="",0,D52))^ROUNDDOWN((15-1)/IF(D53="",5,D53),0)))</f>
        <v>44370.9792</v>
      </c>
      <c r="G99" s="75" t="n">
        <f aca="false">IF(F99="","",IF((IF(D61="",IF($D$34="",0,$D$34),D61))=0,0,MAX(0,3061481.19-(IF(D62&lt;&gt;"",D62,IF($D$36&lt;&gt;"",$D$36,IF((IF(D61="",IF($D$34="",0,$D$34),D61))=0,0,D51/(IF(D61="",IF($D$34="",0,$D$34),D61)))))))*(IF(D61="",IF($D$34="",0,$D$34),D61))))</f>
        <v>0</v>
      </c>
      <c r="H99" s="75" t="n">
        <f aca="false">IF(F99="","",F99+G99)</f>
        <v>44370.9792</v>
      </c>
      <c r="I99" s="75" t="str">
        <f aca="false">IF(E51="","",IF(15&gt;IF(E54="",10,E54),"",E51*(1+IF(E52="",0,E52))^ROUNDDOWN((15-1)/IF(E53="",5,E53),0)))</f>
        <v/>
      </c>
      <c r="J99" s="75" t="str">
        <f aca="false">IF(I99="","",IF((IF(E61="",IF($D$34="",0,$D$34),E61))=0,0,MAX(0,3061481.19-(IF(E62&lt;&gt;"",E62,IF($D$36&lt;&gt;"",$D$36,IF((IF(E61="",IF($D$34="",0,$D$34),E61))=0,0,E51/(IF(E61="",IF($D$34="",0,$D$34),E61)))))))*(IF(E61="",IF($D$34="",0,$D$34),E61))))</f>
        <v/>
      </c>
      <c r="K99" s="75" t="str">
        <f aca="false">IF(I99="","",I99+J99)</f>
        <v/>
      </c>
      <c r="L99" s="75" t="str">
        <f aca="false">IF(F51="","",IF(15&gt;IF(F54="",10,F54),"",F51*(1+IF(F52="",0,F52))^ROUNDDOWN((15-1)/IF(F53="",5,F53),0)))</f>
        <v/>
      </c>
      <c r="M99" s="75" t="str">
        <f aca="false">IF(L99="","",IF((IF(F61="",IF($D$34="",0,$D$34),F61))=0,0,MAX(0,3061481.19-(IF(F62&lt;&gt;"",F62,IF($D$36&lt;&gt;"",$D$36,IF((IF(F61="",IF($D$34="",0,$D$34),F61))=0,0,F51/(IF(F61="",IF($D$34="",0,$D$34),F61)))))))*(IF(F61="",IF($D$34="",0,$D$34),F61))))</f>
        <v/>
      </c>
      <c r="N99" s="75" t="str">
        <f aca="false">IF(L99="","",L99+M99)</f>
        <v/>
      </c>
      <c r="O99" s="75" t="str">
        <f aca="false">IF(G51="","",IF(15&gt;IF(G54="",10,G54),"",G51*(1+IF(G52="",0,G52))^ROUNDDOWN((15-1)/IF(G53="",5,G53),0)))</f>
        <v/>
      </c>
      <c r="P99" s="75" t="str">
        <f aca="false">IF(O99="","",IF((IF(G61="",IF($D$34="",0,$D$34),G61))=0,0,MAX(0,3061481.19-(IF(G62&lt;&gt;"",G62,IF($D$36&lt;&gt;"",$D$36,IF((IF(G61="",IF($D$34="",0,$D$34),G61))=0,0,G51/(IF(G61="",IF($D$34="",0,$D$34),G61)))))))*(IF(G61="",IF($D$34="",0,$D$34),G61))))</f>
        <v/>
      </c>
      <c r="Q99" s="75" t="str">
        <f aca="false">IF(O99="","",O99+P99)</f>
        <v/>
      </c>
      <c r="R99" s="75" t="str">
        <f aca="false">IF(H51="","",IF(15&gt;IF(H54="",10,H54),"",H51*(1+IF(H52="",0,H52))^ROUNDDOWN((15-1)/IF(H53="",5,H53),0)))</f>
        <v/>
      </c>
      <c r="S99" s="75" t="str">
        <f aca="false">IF(R99="","",IF((IF(H61="",IF($D$34="",0,$D$34),H61))=0,0,MAX(0,3061481.19-(IF(H62&lt;&gt;"",H62,IF($D$36&lt;&gt;"",$D$36,IF((IF(H61="",IF($D$34="",0,$D$34),H61))=0,0,H51/(IF(H61="",IF($D$34="",0,$D$34),H61)))))))*(IF(H61="",IF($D$34="",0,$D$34),H61))))</f>
        <v/>
      </c>
      <c r="T99" s="75" t="str">
        <f aca="false">IF(R99="","",R99+S99)</f>
        <v/>
      </c>
    </row>
    <row r="100" customFormat="false" ht="15" hidden="false" customHeight="false" outlineLevel="0" collapsed="false">
      <c r="A100" s="74" t="n">
        <v>16</v>
      </c>
      <c r="B100" s="75" t="n">
        <v>3122711</v>
      </c>
      <c r="C100" s="76" t="n">
        <v>42648</v>
      </c>
      <c r="D100" s="76" t="n">
        <v>0</v>
      </c>
      <c r="E100" s="76" t="n">
        <v>42648</v>
      </c>
      <c r="F100" s="75" t="n">
        <f aca="false">IF(D51="","",IF(16&gt;IF(D54="",10,D54),"",D51*(1+IF(D52="",0,D52))^ROUNDDOWN((16-1)/IF(D53="",5,D53),0)))</f>
        <v>45258.398784</v>
      </c>
      <c r="G100" s="75" t="n">
        <f aca="false">IF(F100="","",IF((IF(D61="",IF($D$34="",0,$D$34),D61))=0,0,MAX(0,3122710.81-(IF(D62&lt;&gt;"",D62,IF($D$36&lt;&gt;"",$D$36,IF((IF(D61="",IF($D$34="",0,$D$34),D61))=0,0,D51/(IF(D61="",IF($D$34="",0,$D$34),D61)))))))*(IF(D61="",IF($D$34="",0,$D$34),D61))))</f>
        <v>0</v>
      </c>
      <c r="H100" s="75" t="n">
        <f aca="false">IF(F100="","",F100+G100)</f>
        <v>45258.398784</v>
      </c>
      <c r="I100" s="75" t="str">
        <f aca="false">IF(E51="","",IF(16&gt;IF(E54="",10,E54),"",E51*(1+IF(E52="",0,E52))^ROUNDDOWN((16-1)/IF(E53="",5,E53),0)))</f>
        <v/>
      </c>
      <c r="J100" s="75" t="str">
        <f aca="false">IF(I100="","",IF((IF(E61="",IF($D$34="",0,$D$34),E61))=0,0,MAX(0,3122710.81-(IF(E62&lt;&gt;"",E62,IF($D$36&lt;&gt;"",$D$36,IF((IF(E61="",IF($D$34="",0,$D$34),E61))=0,0,E51/(IF(E61="",IF($D$34="",0,$D$34),E61)))))))*(IF(E61="",IF($D$34="",0,$D$34),E61))))</f>
        <v/>
      </c>
      <c r="K100" s="75" t="str">
        <f aca="false">IF(I100="","",I100+J100)</f>
        <v/>
      </c>
      <c r="L100" s="75" t="str">
        <f aca="false">IF(F51="","",IF(16&gt;IF(F54="",10,F54),"",F51*(1+IF(F52="",0,F52))^ROUNDDOWN((16-1)/IF(F53="",5,F53),0)))</f>
        <v/>
      </c>
      <c r="M100" s="75" t="str">
        <f aca="false">IF(L100="","",IF((IF(F61="",IF($D$34="",0,$D$34),F61))=0,0,MAX(0,3122710.81-(IF(F62&lt;&gt;"",F62,IF($D$36&lt;&gt;"",$D$36,IF((IF(F61="",IF($D$34="",0,$D$34),F61))=0,0,F51/(IF(F61="",IF($D$34="",0,$D$34),F61)))))))*(IF(F61="",IF($D$34="",0,$D$34),F61))))</f>
        <v/>
      </c>
      <c r="N100" s="75" t="str">
        <f aca="false">IF(L100="","",L100+M100)</f>
        <v/>
      </c>
      <c r="O100" s="75" t="str">
        <f aca="false">IF(G51="","",IF(16&gt;IF(G54="",10,G54),"",G51*(1+IF(G52="",0,G52))^ROUNDDOWN((16-1)/IF(G53="",5,G53),0)))</f>
        <v/>
      </c>
      <c r="P100" s="75" t="str">
        <f aca="false">IF(O100="","",IF((IF(G61="",IF($D$34="",0,$D$34),G61))=0,0,MAX(0,3122710.81-(IF(G62&lt;&gt;"",G62,IF($D$36&lt;&gt;"",$D$36,IF((IF(G61="",IF($D$34="",0,$D$34),G61))=0,0,G51/(IF(G61="",IF($D$34="",0,$D$34),G61)))))))*(IF(G61="",IF($D$34="",0,$D$34),G61))))</f>
        <v/>
      </c>
      <c r="Q100" s="75" t="str">
        <f aca="false">IF(O100="","",O100+P100)</f>
        <v/>
      </c>
      <c r="R100" s="75" t="str">
        <f aca="false">IF(H51="","",IF(16&gt;IF(H54="",10,H54),"",H51*(1+IF(H52="",0,H52))^ROUNDDOWN((16-1)/IF(H53="",5,H53),0)))</f>
        <v/>
      </c>
      <c r="S100" s="75" t="str">
        <f aca="false">IF(R100="","",IF((IF(H61="",IF($D$34="",0,$D$34),H61))=0,0,MAX(0,3122710.81-(IF(H62&lt;&gt;"",H62,IF($D$36&lt;&gt;"",$D$36,IF((IF(H61="",IF($D$34="",0,$D$34),H61))=0,0,H51/(IF(H61="",IF($D$34="",0,$D$34),H61)))))))*(IF(H61="",IF($D$34="",0,$D$34),H61))))</f>
        <v/>
      </c>
      <c r="T100" s="75" t="str">
        <f aca="false">IF(R100="","",R100+S100)</f>
        <v/>
      </c>
    </row>
    <row r="101" customFormat="false" ht="15" hidden="false" customHeight="false" outlineLevel="0" collapsed="false">
      <c r="A101" s="74" t="n">
        <v>17</v>
      </c>
      <c r="B101" s="75" t="n">
        <v>3185165</v>
      </c>
      <c r="C101" s="76" t="n">
        <v>42648</v>
      </c>
      <c r="D101" s="76" t="n">
        <v>0</v>
      </c>
      <c r="E101" s="76" t="n">
        <v>42648</v>
      </c>
      <c r="F101" s="75" t="n">
        <f aca="false">IF(D51="","",IF(17&gt;IF(D54="",10,D54),"",D51*(1+IF(D52="",0,D52))^ROUNDDOWN((17-1)/IF(D53="",5,D53),0)))</f>
        <v>45258.398784</v>
      </c>
      <c r="G101" s="75" t="n">
        <f aca="false">IF(F101="","",IF((IF(D61="",IF($D$34="",0,$D$34),D61))=0,0,MAX(0,3185165.03-(IF(D62&lt;&gt;"",D62,IF($D$36&lt;&gt;"",$D$36,IF((IF(D61="",IF($D$34="",0,$D$34),D61))=0,0,D51/(IF(D61="",IF($D$34="",0,$D$34),D61)))))))*(IF(D61="",IF($D$34="",0,$D$34),D61))))</f>
        <v>0</v>
      </c>
      <c r="H101" s="75" t="n">
        <f aca="false">IF(F101="","",F101+G101)</f>
        <v>45258.398784</v>
      </c>
      <c r="I101" s="75" t="str">
        <f aca="false">IF(E51="","",IF(17&gt;IF(E54="",10,E54),"",E51*(1+IF(E52="",0,E52))^ROUNDDOWN((17-1)/IF(E53="",5,E53),0)))</f>
        <v/>
      </c>
      <c r="J101" s="75" t="str">
        <f aca="false">IF(I101="","",IF((IF(E61="",IF($D$34="",0,$D$34),E61))=0,0,MAX(0,3185165.03-(IF(E62&lt;&gt;"",E62,IF($D$36&lt;&gt;"",$D$36,IF((IF(E61="",IF($D$34="",0,$D$34),E61))=0,0,E51/(IF(E61="",IF($D$34="",0,$D$34),E61)))))))*(IF(E61="",IF($D$34="",0,$D$34),E61))))</f>
        <v/>
      </c>
      <c r="K101" s="75" t="str">
        <f aca="false">IF(I101="","",I101+J101)</f>
        <v/>
      </c>
      <c r="L101" s="75" t="str">
        <f aca="false">IF(F51="","",IF(17&gt;IF(F54="",10,F54),"",F51*(1+IF(F52="",0,F52))^ROUNDDOWN((17-1)/IF(F53="",5,F53),0)))</f>
        <v/>
      </c>
      <c r="M101" s="75" t="str">
        <f aca="false">IF(L101="","",IF((IF(F61="",IF($D$34="",0,$D$34),F61))=0,0,MAX(0,3185165.03-(IF(F62&lt;&gt;"",F62,IF($D$36&lt;&gt;"",$D$36,IF((IF(F61="",IF($D$34="",0,$D$34),F61))=0,0,F51/(IF(F61="",IF($D$34="",0,$D$34),F61)))))))*(IF(F61="",IF($D$34="",0,$D$34),F61))))</f>
        <v/>
      </c>
      <c r="N101" s="75" t="str">
        <f aca="false">IF(L101="","",L101+M101)</f>
        <v/>
      </c>
      <c r="O101" s="75" t="str">
        <f aca="false">IF(G51="","",IF(17&gt;IF(G54="",10,G54),"",G51*(1+IF(G52="",0,G52))^ROUNDDOWN((17-1)/IF(G53="",5,G53),0)))</f>
        <v/>
      </c>
      <c r="P101" s="75" t="str">
        <f aca="false">IF(O101="","",IF((IF(G61="",IF($D$34="",0,$D$34),G61))=0,0,MAX(0,3185165.03-(IF(G62&lt;&gt;"",G62,IF($D$36&lt;&gt;"",$D$36,IF((IF(G61="",IF($D$34="",0,$D$34),G61))=0,0,G51/(IF(G61="",IF($D$34="",0,$D$34),G61)))))))*(IF(G61="",IF($D$34="",0,$D$34),G61))))</f>
        <v/>
      </c>
      <c r="Q101" s="75" t="str">
        <f aca="false">IF(O101="","",O101+P101)</f>
        <v/>
      </c>
      <c r="R101" s="75" t="str">
        <f aca="false">IF(H51="","",IF(17&gt;IF(H54="",10,H54),"",H51*(1+IF(H52="",0,H52))^ROUNDDOWN((17-1)/IF(H53="",5,H53),0)))</f>
        <v/>
      </c>
      <c r="S101" s="75" t="str">
        <f aca="false">IF(R101="","",IF((IF(H61="",IF($D$34="",0,$D$34),H61))=0,0,MAX(0,3185165.03-(IF(H62&lt;&gt;"",H62,IF($D$36&lt;&gt;"",$D$36,IF((IF(H61="",IF($D$34="",0,$D$34),H61))=0,0,H51/(IF(H61="",IF($D$34="",0,$D$34),H61)))))))*(IF(H61="",IF($D$34="",0,$D$34),H61))))</f>
        <v/>
      </c>
      <c r="T101" s="75" t="str">
        <f aca="false">IF(R101="","",R101+S101)</f>
        <v/>
      </c>
    </row>
    <row r="102" customFormat="false" ht="15" hidden="false" customHeight="false" outlineLevel="0" collapsed="false">
      <c r="A102" s="74" t="n">
        <v>18</v>
      </c>
      <c r="B102" s="75" t="n">
        <v>3248868</v>
      </c>
      <c r="C102" s="76" t="n">
        <v>42648</v>
      </c>
      <c r="D102" s="76" t="n">
        <v>0</v>
      </c>
      <c r="E102" s="76" t="n">
        <v>42648</v>
      </c>
      <c r="F102" s="75" t="n">
        <f aca="false">IF(D51="","",IF(18&gt;IF(D54="",10,D54),"",D51*(1+IF(D52="",0,D52))^ROUNDDOWN((18-1)/IF(D53="",5,D53),0)))</f>
        <v>45258.398784</v>
      </c>
      <c r="G102" s="75" t="n">
        <f aca="false">IF(F102="","",IF((IF(D61="",IF($D$34="",0,$D$34),D61))=0,0,MAX(0,3248868.33-(IF(D62&lt;&gt;"",D62,IF($D$36&lt;&gt;"",$D$36,IF((IF(D61="",IF($D$34="",0,$D$34),D61))=0,0,D51/(IF(D61="",IF($D$34="",0,$D$34),D61)))))))*(IF(D61="",IF($D$34="",0,$D$34),D61))))</f>
        <v>0</v>
      </c>
      <c r="H102" s="75" t="n">
        <f aca="false">IF(F102="","",F102+G102)</f>
        <v>45258.398784</v>
      </c>
      <c r="I102" s="75" t="str">
        <f aca="false">IF(E51="","",IF(18&gt;IF(E54="",10,E54),"",E51*(1+IF(E52="",0,E52))^ROUNDDOWN((18-1)/IF(E53="",5,E53),0)))</f>
        <v/>
      </c>
      <c r="J102" s="75" t="str">
        <f aca="false">IF(I102="","",IF((IF(E61="",IF($D$34="",0,$D$34),E61))=0,0,MAX(0,3248868.33-(IF(E62&lt;&gt;"",E62,IF($D$36&lt;&gt;"",$D$36,IF((IF(E61="",IF($D$34="",0,$D$34),E61))=0,0,E51/(IF(E61="",IF($D$34="",0,$D$34),E61)))))))*(IF(E61="",IF($D$34="",0,$D$34),E61))))</f>
        <v/>
      </c>
      <c r="K102" s="75" t="str">
        <f aca="false">IF(I102="","",I102+J102)</f>
        <v/>
      </c>
      <c r="L102" s="75" t="str">
        <f aca="false">IF(F51="","",IF(18&gt;IF(F54="",10,F54),"",F51*(1+IF(F52="",0,F52))^ROUNDDOWN((18-1)/IF(F53="",5,F53),0)))</f>
        <v/>
      </c>
      <c r="M102" s="75" t="str">
        <f aca="false">IF(L102="","",IF((IF(F61="",IF($D$34="",0,$D$34),F61))=0,0,MAX(0,3248868.33-(IF(F62&lt;&gt;"",F62,IF($D$36&lt;&gt;"",$D$36,IF((IF(F61="",IF($D$34="",0,$D$34),F61))=0,0,F51/(IF(F61="",IF($D$34="",0,$D$34),F61)))))))*(IF(F61="",IF($D$34="",0,$D$34),F61))))</f>
        <v/>
      </c>
      <c r="N102" s="75" t="str">
        <f aca="false">IF(L102="","",L102+M102)</f>
        <v/>
      </c>
      <c r="O102" s="75" t="str">
        <f aca="false">IF(G51="","",IF(18&gt;IF(G54="",10,G54),"",G51*(1+IF(G52="",0,G52))^ROUNDDOWN((18-1)/IF(G53="",5,G53),0)))</f>
        <v/>
      </c>
      <c r="P102" s="75" t="str">
        <f aca="false">IF(O102="","",IF((IF(G61="",IF($D$34="",0,$D$34),G61))=0,0,MAX(0,3248868.33-(IF(G62&lt;&gt;"",G62,IF($D$36&lt;&gt;"",$D$36,IF((IF(G61="",IF($D$34="",0,$D$34),G61))=0,0,G51/(IF(G61="",IF($D$34="",0,$D$34),G61)))))))*(IF(G61="",IF($D$34="",0,$D$34),G61))))</f>
        <v/>
      </c>
      <c r="Q102" s="75" t="str">
        <f aca="false">IF(O102="","",O102+P102)</f>
        <v/>
      </c>
      <c r="R102" s="75" t="str">
        <f aca="false">IF(H51="","",IF(18&gt;IF(H54="",10,H54),"",H51*(1+IF(H52="",0,H52))^ROUNDDOWN((18-1)/IF(H53="",5,H53),0)))</f>
        <v/>
      </c>
      <c r="S102" s="75" t="str">
        <f aca="false">IF(R102="","",IF((IF(H61="",IF($D$34="",0,$D$34),H61))=0,0,MAX(0,3248868.33-(IF(H62&lt;&gt;"",H62,IF($D$36&lt;&gt;"",$D$36,IF((IF(H61="",IF($D$34="",0,$D$34),H61))=0,0,H51/(IF(H61="",IF($D$34="",0,$D$34),H61)))))))*(IF(H61="",IF($D$34="",0,$D$34),H61))))</f>
        <v/>
      </c>
      <c r="T102" s="75" t="str">
        <f aca="false">IF(R102="","",R102+S102)</f>
        <v/>
      </c>
    </row>
    <row r="103" customFormat="false" ht="15" hidden="false" customHeight="false" outlineLevel="0" collapsed="false">
      <c r="A103" s="74" t="n">
        <v>19</v>
      </c>
      <c r="B103" s="75" t="n">
        <v>3313846</v>
      </c>
      <c r="C103" s="76" t="n">
        <v>42648</v>
      </c>
      <c r="D103" s="76" t="n">
        <v>0</v>
      </c>
      <c r="E103" s="76" t="n">
        <v>42648</v>
      </c>
      <c r="F103" s="75" t="n">
        <f aca="false">IF(D51="","",IF(19&gt;IF(D54="",10,D54),"",D51*(1+IF(D52="",0,D52))^ROUNDDOWN((19-1)/IF(D53="",5,D53),0)))</f>
        <v>45258.398784</v>
      </c>
      <c r="G103" s="75" t="n">
        <f aca="false">IF(F103="","",IF((IF(D61="",IF($D$34="",0,$D$34),D61))=0,0,MAX(0,3313845.69-(IF(D62&lt;&gt;"",D62,IF($D$36&lt;&gt;"",$D$36,IF((IF(D61="",IF($D$34="",0,$D$34),D61))=0,0,D51/(IF(D61="",IF($D$34="",0,$D$34),D61)))))))*(IF(D61="",IF($D$34="",0,$D$34),D61))))</f>
        <v>0</v>
      </c>
      <c r="H103" s="75" t="n">
        <f aca="false">IF(F103="","",F103+G103)</f>
        <v>45258.398784</v>
      </c>
      <c r="I103" s="75" t="str">
        <f aca="false">IF(E51="","",IF(19&gt;IF(E54="",10,E54),"",E51*(1+IF(E52="",0,E52))^ROUNDDOWN((19-1)/IF(E53="",5,E53),0)))</f>
        <v/>
      </c>
      <c r="J103" s="75" t="str">
        <f aca="false">IF(I103="","",IF((IF(E61="",IF($D$34="",0,$D$34),E61))=0,0,MAX(0,3313845.69-(IF(E62&lt;&gt;"",E62,IF($D$36&lt;&gt;"",$D$36,IF((IF(E61="",IF($D$34="",0,$D$34),E61))=0,0,E51/(IF(E61="",IF($D$34="",0,$D$34),E61)))))))*(IF(E61="",IF($D$34="",0,$D$34),E61))))</f>
        <v/>
      </c>
      <c r="K103" s="75" t="str">
        <f aca="false">IF(I103="","",I103+J103)</f>
        <v/>
      </c>
      <c r="L103" s="75" t="str">
        <f aca="false">IF(F51="","",IF(19&gt;IF(F54="",10,F54),"",F51*(1+IF(F52="",0,F52))^ROUNDDOWN((19-1)/IF(F53="",5,F53),0)))</f>
        <v/>
      </c>
      <c r="M103" s="75" t="str">
        <f aca="false">IF(L103="","",IF((IF(F61="",IF($D$34="",0,$D$34),F61))=0,0,MAX(0,3313845.69-(IF(F62&lt;&gt;"",F62,IF($D$36&lt;&gt;"",$D$36,IF((IF(F61="",IF($D$34="",0,$D$34),F61))=0,0,F51/(IF(F61="",IF($D$34="",0,$D$34),F61)))))))*(IF(F61="",IF($D$34="",0,$D$34),F61))))</f>
        <v/>
      </c>
      <c r="N103" s="75" t="str">
        <f aca="false">IF(L103="","",L103+M103)</f>
        <v/>
      </c>
      <c r="O103" s="75" t="str">
        <f aca="false">IF(G51="","",IF(19&gt;IF(G54="",10,G54),"",G51*(1+IF(G52="",0,G52))^ROUNDDOWN((19-1)/IF(G53="",5,G53),0)))</f>
        <v/>
      </c>
      <c r="P103" s="75" t="str">
        <f aca="false">IF(O103="","",IF((IF(G61="",IF($D$34="",0,$D$34),G61))=0,0,MAX(0,3313845.69-(IF(G62&lt;&gt;"",G62,IF($D$36&lt;&gt;"",$D$36,IF((IF(G61="",IF($D$34="",0,$D$34),G61))=0,0,G51/(IF(G61="",IF($D$34="",0,$D$34),G61)))))))*(IF(G61="",IF($D$34="",0,$D$34),G61))))</f>
        <v/>
      </c>
      <c r="Q103" s="75" t="str">
        <f aca="false">IF(O103="","",O103+P103)</f>
        <v/>
      </c>
      <c r="R103" s="75" t="str">
        <f aca="false">IF(H51="","",IF(19&gt;IF(H54="",10,H54),"",H51*(1+IF(H52="",0,H52))^ROUNDDOWN((19-1)/IF(H53="",5,H53),0)))</f>
        <v/>
      </c>
      <c r="S103" s="75" t="str">
        <f aca="false">IF(R103="","",IF((IF(H61="",IF($D$34="",0,$D$34),H61))=0,0,MAX(0,3313845.69-(IF(H62&lt;&gt;"",H62,IF($D$36&lt;&gt;"",$D$36,IF((IF(H61="",IF($D$34="",0,$D$34),H61))=0,0,H51/(IF(H61="",IF($D$34="",0,$D$34),H61)))))))*(IF(H61="",IF($D$34="",0,$D$34),H61))))</f>
        <v/>
      </c>
      <c r="T103" s="75" t="str">
        <f aca="false">IF(R103="","",R103+S103)</f>
        <v/>
      </c>
    </row>
    <row r="104" customFormat="false" ht="15" hidden="false" customHeight="false" outlineLevel="0" collapsed="false">
      <c r="A104" s="74" t="n">
        <v>20</v>
      </c>
      <c r="B104" s="75" t="n">
        <v>3380123</v>
      </c>
      <c r="C104" s="76" t="n">
        <v>42648</v>
      </c>
      <c r="D104" s="76" t="n">
        <v>0</v>
      </c>
      <c r="E104" s="76" t="n">
        <v>42648</v>
      </c>
      <c r="F104" s="75" t="n">
        <f aca="false">IF(D51="","",IF(20&gt;IF(D54="",10,D54),"",D51*(1+IF(D52="",0,D52))^ROUNDDOWN((20-1)/IF(D53="",5,D53),0)))</f>
        <v>45258.398784</v>
      </c>
      <c r="G104" s="75" t="n">
        <f aca="false">IF(F104="","",IF((IF(D61="",IF($D$34="",0,$D$34),D61))=0,0,MAX(0,3380122.61-(IF(D62&lt;&gt;"",D62,IF($D$36&lt;&gt;"",$D$36,IF((IF(D61="",IF($D$34="",0,$D$34),D61))=0,0,D51/(IF(D61="",IF($D$34="",0,$D$34),D61)))))))*(IF(D61="",IF($D$34="",0,$D$34),D61))))</f>
        <v>0</v>
      </c>
      <c r="H104" s="75" t="n">
        <f aca="false">IF(F104="","",F104+G104)</f>
        <v>45258.398784</v>
      </c>
      <c r="I104" s="75" t="str">
        <f aca="false">IF(E51="","",IF(20&gt;IF(E54="",10,E54),"",E51*(1+IF(E52="",0,E52))^ROUNDDOWN((20-1)/IF(E53="",5,E53),0)))</f>
        <v/>
      </c>
      <c r="J104" s="75" t="str">
        <f aca="false">IF(I104="","",IF((IF(E61="",IF($D$34="",0,$D$34),E61))=0,0,MAX(0,3380122.61-(IF(E62&lt;&gt;"",E62,IF($D$36&lt;&gt;"",$D$36,IF((IF(E61="",IF($D$34="",0,$D$34),E61))=0,0,E51/(IF(E61="",IF($D$34="",0,$D$34),E61)))))))*(IF(E61="",IF($D$34="",0,$D$34),E61))))</f>
        <v/>
      </c>
      <c r="K104" s="75" t="str">
        <f aca="false">IF(I104="","",I104+J104)</f>
        <v/>
      </c>
      <c r="L104" s="75" t="str">
        <f aca="false">IF(F51="","",IF(20&gt;IF(F54="",10,F54),"",F51*(1+IF(F52="",0,F52))^ROUNDDOWN((20-1)/IF(F53="",5,F53),0)))</f>
        <v/>
      </c>
      <c r="M104" s="75" t="str">
        <f aca="false">IF(L104="","",IF((IF(F61="",IF($D$34="",0,$D$34),F61))=0,0,MAX(0,3380122.61-(IF(F62&lt;&gt;"",F62,IF($D$36&lt;&gt;"",$D$36,IF((IF(F61="",IF($D$34="",0,$D$34),F61))=0,0,F51/(IF(F61="",IF($D$34="",0,$D$34),F61)))))))*(IF(F61="",IF($D$34="",0,$D$34),F61))))</f>
        <v/>
      </c>
      <c r="N104" s="75" t="str">
        <f aca="false">IF(L104="","",L104+M104)</f>
        <v/>
      </c>
      <c r="O104" s="75" t="str">
        <f aca="false">IF(G51="","",IF(20&gt;IF(G54="",10,G54),"",G51*(1+IF(G52="",0,G52))^ROUNDDOWN((20-1)/IF(G53="",5,G53),0)))</f>
        <v/>
      </c>
      <c r="P104" s="75" t="str">
        <f aca="false">IF(O104="","",IF((IF(G61="",IF($D$34="",0,$D$34),G61))=0,0,MAX(0,3380122.61-(IF(G62&lt;&gt;"",G62,IF($D$36&lt;&gt;"",$D$36,IF((IF(G61="",IF($D$34="",0,$D$34),G61))=0,0,G51/(IF(G61="",IF($D$34="",0,$D$34),G61)))))))*(IF(G61="",IF($D$34="",0,$D$34),G61))))</f>
        <v/>
      </c>
      <c r="Q104" s="75" t="str">
        <f aca="false">IF(O104="","",O104+P104)</f>
        <v/>
      </c>
      <c r="R104" s="75" t="str">
        <f aca="false">IF(H51="","",IF(20&gt;IF(H54="",10,H54),"",H51*(1+IF(H52="",0,H52))^ROUNDDOWN((20-1)/IF(H53="",5,H53),0)))</f>
        <v/>
      </c>
      <c r="S104" s="75" t="str">
        <f aca="false">IF(R104="","",IF((IF(H61="",IF($D$34="",0,$D$34),H61))=0,0,MAX(0,3380122.61-(IF(H62&lt;&gt;"",H62,IF($D$36&lt;&gt;"",$D$36,IF((IF(H61="",IF($D$34="",0,$D$34),H61))=0,0,H51/(IF(H61="",IF($D$34="",0,$D$34),H61)))))))*(IF(H61="",IF($D$34="",0,$D$34),H61))))</f>
        <v/>
      </c>
      <c r="T104" s="75" t="str">
        <f aca="false">IF(R104="","",R104+S104)</f>
        <v/>
      </c>
    </row>
    <row r="105" customFormat="false" ht="15" hidden="false" customHeight="false" outlineLevel="0" collapsed="false">
      <c r="A105" s="77" t="s">
        <v>394</v>
      </c>
      <c r="C105" s="78" t="n">
        <f aca="false">IF(COUNT(C85:C104)=0,"",SUM(C85:C104))</f>
        <v>852960</v>
      </c>
      <c r="D105" s="78" t="n">
        <f aca="false">IF(COUNT(D85:D104)=0,"",SUM(D85:D104))</f>
        <v>0</v>
      </c>
      <c r="E105" s="78" t="n">
        <f aca="false">IF(COUNT(E85:E104)=0,"",SUM(E85:E104))</f>
        <v>852960</v>
      </c>
      <c r="F105" s="78" t="n">
        <f aca="false">IF(COUNT(F85:F104)=0,"",SUM(F85:F104))</f>
        <v>878891.68992</v>
      </c>
      <c r="G105" s="78" t="n">
        <f aca="false">IF(COUNT(G85:G104)=0,"",SUM(G85:G104))</f>
        <v>0</v>
      </c>
      <c r="H105" s="78" t="n">
        <f aca="false">IF(COUNT(H85:H104)=0,"",SUM(H85:H104))</f>
        <v>878891.68992</v>
      </c>
      <c r="I105" s="78" t="str">
        <f aca="false">IF(COUNT(I85:I104)=0,"",SUM(I85:I104))</f>
        <v/>
      </c>
      <c r="J105" s="78" t="str">
        <f aca="false">IF(COUNT(J85:J104)=0,"",SUM(J85:J104))</f>
        <v/>
      </c>
      <c r="K105" s="78" t="str">
        <f aca="false">IF(COUNT(K85:K104)=0,"",SUM(K85:K104))</f>
        <v/>
      </c>
      <c r="L105" s="78" t="str">
        <f aca="false">IF(COUNT(L85:L104)=0,"",SUM(L85:L104))</f>
        <v/>
      </c>
      <c r="M105" s="78" t="str">
        <f aca="false">IF(COUNT(M85:M104)=0,"",SUM(M85:M104))</f>
        <v/>
      </c>
      <c r="N105" s="78" t="str">
        <f aca="false">IF(COUNT(N85:N104)=0,"",SUM(N85:N104))</f>
        <v/>
      </c>
      <c r="O105" s="78" t="str">
        <f aca="false">IF(COUNT(O85:O104)=0,"",SUM(O85:O104))</f>
        <v/>
      </c>
      <c r="P105" s="78" t="str">
        <f aca="false">IF(COUNT(P85:P104)=0,"",SUM(P85:P104))</f>
        <v/>
      </c>
      <c r="Q105" s="78" t="str">
        <f aca="false">IF(COUNT(Q85:Q104)=0,"",SUM(Q85:Q104))</f>
        <v/>
      </c>
      <c r="R105" s="78" t="str">
        <f aca="false">IF(COUNT(R85:R104)=0,"",SUM(R85:R104))</f>
        <v/>
      </c>
      <c r="S105" s="78" t="str">
        <f aca="false">IF(COUNT(S85:S104)=0,"",SUM(S85:S104))</f>
        <v/>
      </c>
      <c r="T105" s="78" t="str">
        <f aca="false">IF(COUNT(T85:T104)=0,"",SUM(T85:T104))</f>
        <v/>
      </c>
    </row>
    <row r="106" customFormat="false" ht="15" hidden="false" customHeight="false" outlineLevel="0" collapsed="false">
      <c r="A106" s="69" t="s">
        <v>395</v>
      </c>
      <c r="B106" s="69"/>
      <c r="C106" s="69"/>
      <c r="D106" s="69"/>
      <c r="E106" s="69"/>
      <c r="F106" s="69"/>
      <c r="G106" s="69"/>
      <c r="H106" s="69"/>
      <c r="I106" s="69"/>
      <c r="J106" s="69"/>
      <c r="K106" s="69"/>
      <c r="L106" s="69"/>
      <c r="M106" s="69"/>
      <c r="N106" s="69"/>
      <c r="O106" s="69"/>
      <c r="P106" s="69"/>
      <c r="Q106" s="69"/>
      <c r="R106" s="69"/>
      <c r="S106" s="69"/>
      <c r="T106" s="69"/>
    </row>
  </sheetData>
  <mergeCells count="82">
    <mergeCell ref="A2:J2"/>
    <mergeCell ref="A3:J3"/>
    <mergeCell ref="A4:J4"/>
    <mergeCell ref="A5:J5"/>
    <mergeCell ref="A6:J6"/>
    <mergeCell ref="A7:J7"/>
    <mergeCell ref="A8:J8"/>
    <mergeCell ref="A10:C10"/>
    <mergeCell ref="D10:J10"/>
    <mergeCell ref="A11:C11"/>
    <mergeCell ref="D11:J11"/>
    <mergeCell ref="A12:C12"/>
    <mergeCell ref="D12:J12"/>
    <mergeCell ref="A13:C13"/>
    <mergeCell ref="D13:J13"/>
    <mergeCell ref="A14:C14"/>
    <mergeCell ref="D14:J14"/>
    <mergeCell ref="G17:J17"/>
    <mergeCell ref="G18:J18"/>
    <mergeCell ref="G19:J19"/>
    <mergeCell ref="A20:D20"/>
    <mergeCell ref="A21:J21"/>
    <mergeCell ref="A24:C24"/>
    <mergeCell ref="A25:C25"/>
    <mergeCell ref="E25:J25"/>
    <mergeCell ref="A26:C26"/>
    <mergeCell ref="E26:J26"/>
    <mergeCell ref="A27:C27"/>
    <mergeCell ref="A28:C28"/>
    <mergeCell ref="A29:C29"/>
    <mergeCell ref="E29:J29"/>
    <mergeCell ref="A30:J30"/>
    <mergeCell ref="A31:J31"/>
    <mergeCell ref="A34:C34"/>
    <mergeCell ref="E34:J34"/>
    <mergeCell ref="A35:C35"/>
    <mergeCell ref="E35:J35"/>
    <mergeCell ref="A36:C36"/>
    <mergeCell ref="E36:J36"/>
    <mergeCell ref="A37:C37"/>
    <mergeCell ref="E37:J37"/>
    <mergeCell ref="A38:C38"/>
    <mergeCell ref="A39:C39"/>
    <mergeCell ref="A40:C40"/>
    <mergeCell ref="A41:C41"/>
    <mergeCell ref="A46:G46"/>
    <mergeCell ref="A49:C49"/>
    <mergeCell ref="A50:C50"/>
    <mergeCell ref="A51:C51"/>
    <mergeCell ref="A52:C52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2:C62"/>
    <mergeCell ref="A63:C63"/>
    <mergeCell ref="A64:C64"/>
    <mergeCell ref="A65:C65"/>
    <mergeCell ref="A66:C66"/>
    <mergeCell ref="A67:C67"/>
    <mergeCell ref="A68:C68"/>
    <mergeCell ref="A69:C69"/>
    <mergeCell ref="A70:C70"/>
    <mergeCell ref="A71:C71"/>
    <mergeCell ref="A72:C72"/>
    <mergeCell ref="A73:C73"/>
    <mergeCell ref="A74:C74"/>
    <mergeCell ref="A76:J76"/>
    <mergeCell ref="A78:J78"/>
    <mergeCell ref="A82:T82"/>
    <mergeCell ref="C83:E83"/>
    <mergeCell ref="F83:H83"/>
    <mergeCell ref="I83:K83"/>
    <mergeCell ref="L83:N83"/>
    <mergeCell ref="O83:Q83"/>
    <mergeCell ref="R83:T83"/>
    <mergeCell ref="A106:T106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T10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6"/>
    <col collapsed="false" customWidth="true" hidden="false" outlineLevel="0" max="2" min="2" style="0" width="22"/>
    <col collapsed="false" customWidth="true" hidden="false" outlineLevel="0" max="3" min="3" style="0" width="11"/>
    <col collapsed="false" customWidth="true" hidden="false" outlineLevel="0" max="4" min="4" style="0" width="14"/>
    <col collapsed="false" customWidth="true" hidden="false" outlineLevel="0" max="6" min="5" style="0" width="12"/>
    <col collapsed="false" customWidth="true" hidden="false" outlineLevel="0" max="7" min="7" style="0" width="14"/>
    <col collapsed="false" customWidth="true" hidden="false" outlineLevel="0" max="9" min="8" style="0" width="13"/>
    <col collapsed="false" customWidth="true" hidden="false" outlineLevel="0" max="10" min="10" style="0" width="26"/>
  </cols>
  <sheetData>
    <row r="1" customFormat="false" ht="16.15" hidden="false" customHeight="false" outlineLevel="0" collapsed="false">
      <c r="A1" s="3" t="s">
        <v>993</v>
      </c>
    </row>
    <row r="2" customFormat="false" ht="25.5" hidden="false" customHeight="true" outlineLevel="0" collapsed="false">
      <c r="A2" s="12" t="s">
        <v>251</v>
      </c>
      <c r="B2" s="12"/>
      <c r="C2" s="12"/>
      <c r="D2" s="12"/>
      <c r="E2" s="12"/>
      <c r="F2" s="12"/>
      <c r="G2" s="12"/>
      <c r="H2" s="12"/>
      <c r="I2" s="12"/>
      <c r="J2" s="12"/>
    </row>
    <row r="3" customFormat="false" ht="15" hidden="false" customHeight="true" outlineLevel="0" collapsed="false">
      <c r="A3" s="16" t="s">
        <v>994</v>
      </c>
      <c r="B3" s="16"/>
      <c r="C3" s="16"/>
      <c r="D3" s="16"/>
      <c r="E3" s="16"/>
      <c r="F3" s="16"/>
      <c r="G3" s="16"/>
      <c r="H3" s="16"/>
      <c r="I3" s="16"/>
      <c r="J3" s="16"/>
    </row>
    <row r="4" customFormat="false" ht="30" hidden="false" customHeight="true" outlineLevel="0" collapsed="false">
      <c r="A4" s="17" t="s">
        <v>121</v>
      </c>
      <c r="B4" s="17"/>
      <c r="C4" s="17"/>
      <c r="D4" s="17"/>
      <c r="E4" s="17"/>
      <c r="F4" s="17"/>
      <c r="G4" s="17"/>
      <c r="H4" s="17"/>
      <c r="I4" s="17"/>
      <c r="J4" s="17"/>
    </row>
    <row r="5" customFormat="false" ht="15" hidden="false" customHeight="true" outlineLevel="0" collapsed="false">
      <c r="A5" s="18" t="s">
        <v>17</v>
      </c>
      <c r="B5" s="18"/>
      <c r="C5" s="18"/>
      <c r="D5" s="18"/>
      <c r="E5" s="18"/>
      <c r="F5" s="18"/>
      <c r="G5" s="18"/>
      <c r="H5" s="18"/>
      <c r="I5" s="18"/>
      <c r="J5" s="18"/>
    </row>
    <row r="6" customFormat="false" ht="15" hidden="false" customHeight="true" outlineLevel="0" collapsed="false">
      <c r="A6" s="19" t="s">
        <v>122</v>
      </c>
      <c r="B6" s="19"/>
      <c r="C6" s="19"/>
      <c r="D6" s="19"/>
      <c r="E6" s="19"/>
      <c r="F6" s="19"/>
      <c r="G6" s="19"/>
      <c r="H6" s="19"/>
      <c r="I6" s="19"/>
      <c r="J6" s="19"/>
    </row>
    <row r="7" customFormat="false" ht="23.85" hidden="false" customHeight="true" outlineLevel="0" collapsed="false">
      <c r="A7" s="20" t="s">
        <v>995</v>
      </c>
      <c r="B7" s="20"/>
      <c r="C7" s="20"/>
      <c r="D7" s="20"/>
      <c r="E7" s="20"/>
      <c r="F7" s="20"/>
      <c r="G7" s="20"/>
      <c r="H7" s="20"/>
      <c r="I7" s="20"/>
      <c r="J7" s="20"/>
    </row>
    <row r="8" customFormat="false" ht="15" hidden="false" customHeight="true" outlineLevel="0" collapsed="false">
      <c r="A8" s="21" t="s">
        <v>254</v>
      </c>
      <c r="B8" s="21"/>
      <c r="C8" s="21"/>
      <c r="D8" s="21"/>
      <c r="E8" s="21"/>
      <c r="F8" s="21"/>
      <c r="G8" s="21"/>
      <c r="H8" s="21"/>
      <c r="I8" s="21"/>
      <c r="J8" s="21"/>
    </row>
    <row r="10" customFormat="false" ht="15" hidden="false" customHeight="true" outlineLevel="0" collapsed="false">
      <c r="A10" s="22" t="s">
        <v>255</v>
      </c>
      <c r="B10" s="22"/>
      <c r="C10" s="22"/>
      <c r="D10" s="23" t="s">
        <v>996</v>
      </c>
      <c r="E10" s="23"/>
      <c r="F10" s="23"/>
      <c r="G10" s="23"/>
      <c r="H10" s="23"/>
      <c r="I10" s="23"/>
      <c r="J10" s="23"/>
    </row>
    <row r="11" customFormat="false" ht="15" hidden="false" customHeight="true" outlineLevel="0" collapsed="false">
      <c r="A11" s="22" t="s">
        <v>257</v>
      </c>
      <c r="B11" s="22"/>
      <c r="C11" s="22"/>
      <c r="D11" s="86"/>
      <c r="E11" s="86"/>
      <c r="F11" s="86"/>
      <c r="G11" s="86"/>
      <c r="H11" s="86"/>
      <c r="I11" s="86"/>
      <c r="J11" s="86"/>
    </row>
    <row r="12" customFormat="false" ht="15" hidden="false" customHeight="true" outlineLevel="0" collapsed="false">
      <c r="A12" s="22" t="s">
        <v>259</v>
      </c>
      <c r="B12" s="22"/>
      <c r="C12" s="22"/>
      <c r="D12" s="86"/>
      <c r="E12" s="86"/>
      <c r="F12" s="86"/>
      <c r="G12" s="86"/>
      <c r="H12" s="86"/>
      <c r="I12" s="86"/>
      <c r="J12" s="86"/>
    </row>
    <row r="13" customFormat="false" ht="15" hidden="false" customHeight="true" outlineLevel="0" collapsed="false">
      <c r="A13" s="22" t="s">
        <v>261</v>
      </c>
      <c r="B13" s="22"/>
      <c r="C13" s="22"/>
      <c r="D13" s="24" t="n">
        <v>2756637.84</v>
      </c>
      <c r="E13" s="24"/>
      <c r="F13" s="24"/>
      <c r="G13" s="24"/>
      <c r="H13" s="24"/>
      <c r="I13" s="24"/>
      <c r="J13" s="24"/>
    </row>
    <row r="14" customFormat="false" ht="46.25" hidden="false" customHeight="true" outlineLevel="0" collapsed="false">
      <c r="A14" s="22" t="s">
        <v>262</v>
      </c>
      <c r="B14" s="22"/>
      <c r="C14" s="22"/>
      <c r="D14" s="22" t="s">
        <v>997</v>
      </c>
      <c r="E14" s="22"/>
      <c r="F14" s="22"/>
      <c r="G14" s="22"/>
      <c r="H14" s="22"/>
      <c r="I14" s="22"/>
      <c r="J14" s="22"/>
    </row>
    <row r="16" customFormat="false" ht="15" hidden="false" customHeight="false" outlineLevel="0" collapsed="false">
      <c r="A16" s="25" t="s">
        <v>264</v>
      </c>
    </row>
    <row r="17" customFormat="false" ht="22.35" hidden="false" customHeight="true" outlineLevel="0" collapsed="false">
      <c r="A17" s="26" t="s">
        <v>265</v>
      </c>
      <c r="B17" s="26" t="s">
        <v>266</v>
      </c>
      <c r="C17" s="26" t="s">
        <v>267</v>
      </c>
      <c r="D17" s="26" t="s">
        <v>268</v>
      </c>
      <c r="E17" s="26" t="s">
        <v>269</v>
      </c>
      <c r="F17" s="26" t="s">
        <v>270</v>
      </c>
      <c r="G17" s="26" t="s">
        <v>271</v>
      </c>
      <c r="H17" s="26"/>
      <c r="I17" s="26"/>
      <c r="J17" s="26"/>
    </row>
    <row r="18" customFormat="false" ht="23.85" hidden="false" customHeight="true" outlineLevel="0" collapsed="false">
      <c r="A18" s="27" t="s">
        <v>951</v>
      </c>
      <c r="B18" s="28" t="s">
        <v>404</v>
      </c>
      <c r="C18" s="28" t="s">
        <v>998</v>
      </c>
      <c r="D18" s="80" t="n">
        <v>4870.62</v>
      </c>
      <c r="E18" s="30" t="n">
        <f aca="false">IF(D18="","",D18*12)</f>
        <v>58447.44</v>
      </c>
      <c r="F18" s="31" t="n">
        <v>3.7</v>
      </c>
      <c r="G18" s="32" t="s">
        <v>999</v>
      </c>
      <c r="H18" s="32"/>
      <c r="I18" s="32"/>
      <c r="J18" s="32"/>
    </row>
    <row r="19" customFormat="false" ht="15" hidden="false" customHeight="true" outlineLevel="0" collapsed="false">
      <c r="A19" s="27" t="s">
        <v>954</v>
      </c>
      <c r="B19" s="28" t="s">
        <v>1000</v>
      </c>
      <c r="C19" s="28" t="s">
        <v>1001</v>
      </c>
      <c r="D19" s="33"/>
      <c r="E19" s="30" t="str">
        <f aca="false">IF(D19="","",D19*12)</f>
        <v/>
      </c>
      <c r="F19" s="31" t="n">
        <v>5</v>
      </c>
      <c r="G19" s="32" t="s">
        <v>973</v>
      </c>
      <c r="H19" s="32"/>
      <c r="I19" s="32"/>
      <c r="J19" s="32"/>
    </row>
    <row r="20" customFormat="false" ht="35.05" hidden="false" customHeight="true" outlineLevel="0" collapsed="false">
      <c r="A20" s="27" t="s">
        <v>1002</v>
      </c>
      <c r="B20" s="28" t="s">
        <v>1003</v>
      </c>
      <c r="C20" s="28" t="s">
        <v>444</v>
      </c>
      <c r="D20" s="33"/>
      <c r="E20" s="30" t="str">
        <f aca="false">IF(D20="","",D20*12)</f>
        <v/>
      </c>
      <c r="F20" s="31" t="n">
        <v>1.3</v>
      </c>
      <c r="G20" s="32" t="s">
        <v>1004</v>
      </c>
      <c r="H20" s="32"/>
      <c r="I20" s="32"/>
      <c r="J20" s="32"/>
    </row>
    <row r="21" customFormat="false" ht="15" hidden="false" customHeight="false" outlineLevel="0" collapsed="false">
      <c r="A21" s="34" t="s">
        <v>284</v>
      </c>
      <c r="B21" s="34"/>
      <c r="C21" s="34"/>
      <c r="D21" s="34"/>
      <c r="E21" s="35" t="n">
        <f aca="false">IF(SUMPRODUCT(E18:E20,F18:F20)=0,"",SUMPRODUCT(E18:E20,F18:F20))</f>
        <v>216255.528</v>
      </c>
      <c r="F21" s="36"/>
      <c r="G21" s="36"/>
      <c r="H21" s="36"/>
      <c r="I21" s="36"/>
      <c r="J21" s="36"/>
    </row>
    <row r="22" customFormat="false" ht="15" hidden="false" customHeight="false" outlineLevel="0" collapsed="false">
      <c r="A22" s="37" t="s">
        <v>510</v>
      </c>
      <c r="B22" s="37"/>
      <c r="C22" s="37"/>
      <c r="D22" s="37"/>
      <c r="E22" s="37"/>
      <c r="F22" s="37"/>
      <c r="G22" s="37"/>
      <c r="H22" s="37"/>
      <c r="I22" s="37"/>
      <c r="J22" s="37"/>
    </row>
    <row r="24" customFormat="false" ht="15" hidden="false" customHeight="false" outlineLevel="0" collapsed="false">
      <c r="A24" s="25" t="s">
        <v>958</v>
      </c>
    </row>
    <row r="25" customFormat="false" ht="15" hidden="false" customHeight="true" outlineLevel="0" collapsed="false">
      <c r="A25" s="22" t="s">
        <v>287</v>
      </c>
      <c r="B25" s="22"/>
      <c r="C25" s="22"/>
      <c r="D25" s="35" t="n">
        <v>58447.44</v>
      </c>
      <c r="E25" s="36"/>
      <c r="F25" s="36"/>
      <c r="G25" s="36"/>
      <c r="H25" s="36"/>
      <c r="I25" s="36"/>
      <c r="J25" s="36"/>
    </row>
    <row r="26" customFormat="false" ht="15" hidden="false" customHeight="true" outlineLevel="0" collapsed="false">
      <c r="A26" s="22" t="s">
        <v>288</v>
      </c>
      <c r="B26" s="22"/>
      <c r="C26" s="22"/>
      <c r="D26" s="38" t="n">
        <v>0.0212024369512391</v>
      </c>
      <c r="E26" s="39" t="s">
        <v>289</v>
      </c>
      <c r="F26" s="39"/>
      <c r="G26" s="39"/>
      <c r="H26" s="39"/>
      <c r="I26" s="39"/>
      <c r="J26" s="39"/>
    </row>
    <row r="27" customFormat="false" ht="15" hidden="false" customHeight="true" outlineLevel="0" collapsed="false">
      <c r="A27" s="22" t="s">
        <v>1005</v>
      </c>
      <c r="B27" s="22"/>
      <c r="C27" s="22"/>
      <c r="D27" s="35" t="n">
        <v>17580</v>
      </c>
      <c r="E27" s="39" t="s">
        <v>291</v>
      </c>
      <c r="F27" s="39"/>
      <c r="G27" s="39"/>
      <c r="H27" s="39"/>
      <c r="I27" s="39"/>
      <c r="J27" s="39"/>
    </row>
    <row r="28" customFormat="false" ht="15" hidden="false" customHeight="true" outlineLevel="0" collapsed="false">
      <c r="A28" s="22" t="s">
        <v>292</v>
      </c>
      <c r="B28" s="22"/>
      <c r="C28" s="22"/>
      <c r="D28" s="35" t="n">
        <v>0</v>
      </c>
      <c r="E28" s="36"/>
      <c r="F28" s="36"/>
      <c r="G28" s="36"/>
      <c r="H28" s="36"/>
      <c r="I28" s="36"/>
      <c r="J28" s="36"/>
    </row>
    <row r="29" customFormat="false" ht="15" hidden="false" customHeight="true" outlineLevel="0" collapsed="false">
      <c r="A29" s="22" t="s">
        <v>293</v>
      </c>
      <c r="B29" s="22"/>
      <c r="C29" s="22"/>
      <c r="D29" s="35" t="n">
        <v>76027.44</v>
      </c>
      <c r="E29" s="36"/>
      <c r="F29" s="36"/>
      <c r="G29" s="36"/>
      <c r="H29" s="36"/>
      <c r="I29" s="36"/>
      <c r="J29" s="36"/>
    </row>
    <row r="30" customFormat="false" ht="15" hidden="false" customHeight="true" outlineLevel="0" collapsed="false">
      <c r="A30" s="22" t="s">
        <v>294</v>
      </c>
      <c r="B30" s="22"/>
      <c r="C30" s="22"/>
      <c r="D30" s="38" t="n">
        <v>0.0275797708704456</v>
      </c>
      <c r="E30" s="39" t="s">
        <v>295</v>
      </c>
      <c r="F30" s="39"/>
      <c r="G30" s="39"/>
      <c r="H30" s="39"/>
      <c r="I30" s="39"/>
      <c r="J30" s="39"/>
    </row>
    <row r="31" customFormat="false" ht="27.75" hidden="false" customHeight="true" outlineLevel="0" collapsed="false">
      <c r="A31" s="40" t="s">
        <v>1006</v>
      </c>
      <c r="B31" s="40"/>
      <c r="C31" s="40"/>
      <c r="D31" s="40"/>
      <c r="E31" s="40"/>
      <c r="F31" s="40"/>
      <c r="G31" s="40"/>
      <c r="H31" s="40"/>
      <c r="I31" s="40"/>
      <c r="J31" s="40"/>
    </row>
    <row r="32" customFormat="false" ht="15" hidden="false" customHeight="false" outlineLevel="0" collapsed="false">
      <c r="A32" s="41" t="s">
        <v>1007</v>
      </c>
      <c r="B32" s="41"/>
      <c r="C32" s="41"/>
      <c r="D32" s="41"/>
      <c r="E32" s="41"/>
      <c r="F32" s="41"/>
      <c r="G32" s="41"/>
      <c r="H32" s="41"/>
      <c r="I32" s="41"/>
      <c r="J32" s="41"/>
    </row>
    <row r="34" customFormat="false" ht="15" hidden="false" customHeight="false" outlineLevel="0" collapsed="false">
      <c r="A34" s="25" t="s">
        <v>298</v>
      </c>
    </row>
    <row r="35" customFormat="false" ht="15" hidden="false" customHeight="true" outlineLevel="0" collapsed="false">
      <c r="A35" s="22" t="s">
        <v>299</v>
      </c>
      <c r="B35" s="22"/>
      <c r="C35" s="22"/>
      <c r="D35" s="42" t="n">
        <v>0</v>
      </c>
      <c r="E35" s="43" t="s">
        <v>300</v>
      </c>
      <c r="F35" s="43"/>
      <c r="G35" s="43"/>
      <c r="H35" s="43"/>
      <c r="I35" s="43"/>
      <c r="J35" s="43"/>
    </row>
    <row r="36" customFormat="false" ht="15" hidden="false" customHeight="true" outlineLevel="0" collapsed="false">
      <c r="A36" s="22" t="s">
        <v>301</v>
      </c>
      <c r="B36" s="22"/>
      <c r="C36" s="22"/>
      <c r="D36" s="34" t="s">
        <v>302</v>
      </c>
      <c r="E36" s="43" t="s">
        <v>303</v>
      </c>
      <c r="F36" s="43"/>
      <c r="G36" s="43"/>
      <c r="H36" s="43"/>
      <c r="I36" s="43"/>
      <c r="J36" s="43"/>
    </row>
    <row r="37" customFormat="false" ht="15" hidden="false" customHeight="true" outlineLevel="0" collapsed="false">
      <c r="A37" s="22" t="s">
        <v>304</v>
      </c>
      <c r="B37" s="22"/>
      <c r="C37" s="22"/>
      <c r="D37" s="44"/>
      <c r="E37" s="43" t="s">
        <v>305</v>
      </c>
      <c r="F37" s="43"/>
      <c r="G37" s="43"/>
      <c r="H37" s="43"/>
      <c r="I37" s="43"/>
      <c r="J37" s="43"/>
    </row>
    <row r="38" customFormat="false" ht="23.85" hidden="false" customHeight="true" outlineLevel="0" collapsed="false">
      <c r="A38" s="22" t="s">
        <v>306</v>
      </c>
      <c r="B38" s="22"/>
      <c r="C38" s="22"/>
      <c r="D38" s="45" t="str">
        <f aca="false">IF(OR($D$35="",E18=""),"",IF($D$35=0,"— (no % rent)",E18/$D$35))</f>
        <v>— (no % rent)</v>
      </c>
      <c r="E38" s="43" t="s">
        <v>307</v>
      </c>
      <c r="F38" s="43"/>
      <c r="G38" s="43"/>
      <c r="H38" s="43"/>
      <c r="I38" s="43"/>
      <c r="J38" s="43"/>
    </row>
    <row r="39" customFormat="false" ht="23.85" hidden="false" customHeight="true" outlineLevel="0" collapsed="false">
      <c r="A39" s="22" t="s">
        <v>308</v>
      </c>
      <c r="B39" s="22"/>
      <c r="C39" s="22"/>
      <c r="D39" s="45" t="str">
        <f aca="false">IF($D$35="","",IF($D$35=0,"— (no % rent)",IF($D$37&lt;&gt;"",$D$37,IF(E18="","",E18/$D$35))))</f>
        <v>— (no % rent)</v>
      </c>
      <c r="E39" s="36"/>
      <c r="F39" s="36"/>
      <c r="G39" s="36"/>
      <c r="H39" s="36"/>
      <c r="I39" s="36"/>
      <c r="J39" s="36"/>
    </row>
    <row r="40" customFormat="false" ht="15" hidden="false" customHeight="true" outlineLevel="0" collapsed="false">
      <c r="A40" s="22" t="s">
        <v>309</v>
      </c>
      <c r="B40" s="22"/>
      <c r="C40" s="22"/>
      <c r="D40" s="45" t="n">
        <f aca="false">IF(OR($D$35="",D13=""),"",IF($D$35=0,0,IF($D$39="","",MAX(0,D13-$D$39)*$D$35)))</f>
        <v>0</v>
      </c>
      <c r="E40" s="36"/>
      <c r="F40" s="36"/>
      <c r="G40" s="36"/>
      <c r="H40" s="36"/>
      <c r="I40" s="36"/>
      <c r="J40" s="36"/>
    </row>
    <row r="41" customFormat="false" ht="15" hidden="false" customHeight="true" outlineLevel="0" collapsed="false">
      <c r="A41" s="22" t="s">
        <v>310</v>
      </c>
      <c r="B41" s="22"/>
      <c r="C41" s="22"/>
      <c r="D41" s="45" t="n">
        <f aca="false">IF(OR(D40="",E18=""),"",E18+D40)</f>
        <v>58447.44</v>
      </c>
      <c r="E41" s="36"/>
      <c r="F41" s="36"/>
      <c r="G41" s="36"/>
      <c r="H41" s="36"/>
      <c r="I41" s="36"/>
      <c r="J41" s="36"/>
    </row>
    <row r="42" customFormat="false" ht="15" hidden="false" customHeight="true" outlineLevel="0" collapsed="false">
      <c r="A42" s="22" t="s">
        <v>311</v>
      </c>
      <c r="B42" s="22"/>
      <c r="C42" s="22"/>
      <c r="D42" s="46" t="n">
        <f aca="false">IF(OR(D41="",D13=""),"",D41/D13)</f>
        <v>0.0212024369512391</v>
      </c>
      <c r="E42" s="36"/>
      <c r="F42" s="36"/>
      <c r="G42" s="36"/>
      <c r="H42" s="36"/>
      <c r="I42" s="36"/>
      <c r="J42" s="36"/>
    </row>
    <row r="44" customFormat="false" ht="15" hidden="false" customHeight="false" outlineLevel="0" collapsed="false">
      <c r="A44" s="25" t="s">
        <v>312</v>
      </c>
    </row>
    <row r="45" customFormat="false" ht="22.35" hidden="false" customHeight="false" outlineLevel="0" collapsed="false">
      <c r="A45" s="26" t="s">
        <v>313</v>
      </c>
      <c r="B45" s="26" t="s">
        <v>314</v>
      </c>
      <c r="C45" s="26" t="s">
        <v>315</v>
      </c>
      <c r="D45" s="26" t="s">
        <v>316</v>
      </c>
      <c r="E45" s="26" t="s">
        <v>317</v>
      </c>
      <c r="F45" s="26" t="s">
        <v>318</v>
      </c>
      <c r="G45" s="26" t="s">
        <v>319</v>
      </c>
      <c r="H45" s="26" t="s">
        <v>269</v>
      </c>
      <c r="I45" s="26" t="s">
        <v>320</v>
      </c>
      <c r="J45" s="26" t="s">
        <v>321</v>
      </c>
    </row>
    <row r="46" customFormat="false" ht="53.7" hidden="false" customHeight="false" outlineLevel="0" collapsed="false">
      <c r="A46" s="48"/>
      <c r="B46" s="47" t="s">
        <v>962</v>
      </c>
      <c r="C46" s="48"/>
      <c r="D46" s="48"/>
      <c r="E46" s="48"/>
      <c r="F46" s="48"/>
      <c r="G46" s="48"/>
      <c r="H46" s="48"/>
      <c r="I46" s="48"/>
      <c r="J46" s="47" t="s">
        <v>423</v>
      </c>
    </row>
    <row r="47" customFormat="false" ht="15" hidden="false" customHeight="false" outlineLevel="0" collapsed="false">
      <c r="A47" s="52" t="s">
        <v>344</v>
      </c>
      <c r="B47" s="52"/>
      <c r="C47" s="52"/>
      <c r="D47" s="52"/>
      <c r="E47" s="52"/>
      <c r="F47" s="52"/>
      <c r="G47" s="52"/>
      <c r="H47" s="53" t="str">
        <f aca="false">IF(COUNT(H46:H46)=0,"",AVERAGE(H46:H46))</f>
        <v/>
      </c>
      <c r="I47" s="52" t="str">
        <f aca="false">IF(COUNT(H46:H46)=0,"",TEXT(MIN(H46:H46),"$#,##0")&amp;" – "&amp;TEXT(MAX(H46:H46),"$#,##0"))</f>
        <v/>
      </c>
      <c r="J47" s="36"/>
    </row>
    <row r="49" customFormat="false" ht="15" hidden="false" customHeight="false" outlineLevel="0" collapsed="false">
      <c r="A49" s="25" t="s">
        <v>345</v>
      </c>
    </row>
    <row r="50" customFormat="false" ht="53.7" hidden="false" customHeight="true" outlineLevel="0" collapsed="false">
      <c r="A50" s="26" t="s">
        <v>346</v>
      </c>
      <c r="B50" s="26"/>
      <c r="C50" s="26"/>
      <c r="D50" s="26" t="s">
        <v>347</v>
      </c>
      <c r="E50" s="26" t="s">
        <v>348</v>
      </c>
      <c r="F50" s="26" t="s">
        <v>349</v>
      </c>
      <c r="G50" s="26" t="s">
        <v>350</v>
      </c>
      <c r="H50" s="54" t="s">
        <v>351</v>
      </c>
    </row>
    <row r="51" customFormat="false" ht="68.65" hidden="false" customHeight="true" outlineLevel="0" collapsed="false">
      <c r="A51" s="22" t="s">
        <v>352</v>
      </c>
      <c r="B51" s="22"/>
      <c r="C51" s="22"/>
      <c r="D51" s="55" t="s">
        <v>353</v>
      </c>
      <c r="E51" s="56"/>
      <c r="F51" s="56"/>
      <c r="G51" s="56"/>
      <c r="H51" s="56"/>
    </row>
    <row r="52" customFormat="false" ht="15" hidden="false" customHeight="true" outlineLevel="0" collapsed="false">
      <c r="A52" s="22" t="s">
        <v>354</v>
      </c>
      <c r="B52" s="22"/>
      <c r="C52" s="22"/>
      <c r="D52" s="57" t="n">
        <v>58447</v>
      </c>
      <c r="E52" s="57"/>
      <c r="F52" s="57"/>
      <c r="G52" s="57"/>
      <c r="H52" s="57"/>
    </row>
    <row r="53" customFormat="false" ht="15" hidden="false" customHeight="true" outlineLevel="0" collapsed="false">
      <c r="A53" s="22" t="s">
        <v>355</v>
      </c>
      <c r="B53" s="22"/>
      <c r="C53" s="22"/>
      <c r="D53" s="58" t="n">
        <v>0.02</v>
      </c>
      <c r="E53" s="58"/>
      <c r="F53" s="58"/>
      <c r="G53" s="58"/>
      <c r="H53" s="58"/>
    </row>
    <row r="54" customFormat="false" ht="15" hidden="false" customHeight="true" outlineLevel="0" collapsed="false">
      <c r="A54" s="22" t="s">
        <v>356</v>
      </c>
      <c r="B54" s="22"/>
      <c r="C54" s="22"/>
      <c r="D54" s="56" t="n">
        <v>5</v>
      </c>
      <c r="E54" s="56"/>
      <c r="F54" s="56"/>
      <c r="G54" s="56"/>
      <c r="H54" s="56"/>
    </row>
    <row r="55" customFormat="false" ht="15" hidden="false" customHeight="true" outlineLevel="0" collapsed="false">
      <c r="A55" s="22" t="s">
        <v>357</v>
      </c>
      <c r="B55" s="22"/>
      <c r="C55" s="22"/>
      <c r="D55" s="59" t="n">
        <v>20</v>
      </c>
      <c r="E55" s="59"/>
      <c r="F55" s="59"/>
      <c r="G55" s="59"/>
      <c r="H55" s="59"/>
    </row>
    <row r="56" customFormat="false" ht="15" hidden="false" customHeight="true" outlineLevel="0" collapsed="false">
      <c r="A56" s="22" t="s">
        <v>358</v>
      </c>
      <c r="B56" s="22"/>
      <c r="C56" s="22"/>
      <c r="D56" s="60" t="n">
        <f aca="false">IF(OR(D52="",E18=""),"",D52-E18)</f>
        <v>-0.440000000002328</v>
      </c>
      <c r="E56" s="60" t="str">
        <f aca="false">IF(OR(E52="",E18=""),"",E52-E18)</f>
        <v/>
      </c>
      <c r="F56" s="60" t="str">
        <f aca="false">IF(OR(F52="",E18=""),"",F52-E18)</f>
        <v/>
      </c>
      <c r="G56" s="60" t="str">
        <f aca="false">IF(OR(G52="",E18=""),"",G52-E18)</f>
        <v/>
      </c>
      <c r="H56" s="60" t="str">
        <f aca="false">IF(OR(H52="",E18=""),"",H52-E18)</f>
        <v/>
      </c>
    </row>
    <row r="57" customFormat="false" ht="15" hidden="false" customHeight="true" outlineLevel="0" collapsed="false">
      <c r="A57" s="22" t="s">
        <v>359</v>
      </c>
      <c r="B57" s="22"/>
      <c r="C57" s="22"/>
      <c r="D57" s="61" t="n">
        <f aca="false">IF(OR(D52="",E18=""),"",(D52-E18)/E18)</f>
        <v>-7.52813125779894E-006</v>
      </c>
      <c r="E57" s="61" t="str">
        <f aca="false">IF(OR(E52="",E18=""),"",(E52-E18)/E18)</f>
        <v/>
      </c>
      <c r="F57" s="61" t="str">
        <f aca="false">IF(OR(F52="",E18=""),"",(F52-E18)/E18)</f>
        <v/>
      </c>
      <c r="G57" s="61" t="str">
        <f aca="false">IF(OR(G52="",E18=""),"",(G52-E18)/E18)</f>
        <v/>
      </c>
      <c r="H57" s="61" t="str">
        <f aca="false">IF(OR(H52="",E18=""),"",(H52-E18)/E18)</f>
        <v/>
      </c>
    </row>
    <row r="58" customFormat="false" ht="15" hidden="false" customHeight="true" outlineLevel="0" collapsed="false">
      <c r="A58" s="22" t="s">
        <v>360</v>
      </c>
      <c r="B58" s="22"/>
      <c r="C58" s="22"/>
      <c r="D58" s="62" t="n">
        <f aca="false">IF(OR(D52="",D13=""),"",D52/D13)</f>
        <v>0.0212022773365108</v>
      </c>
      <c r="E58" s="62" t="str">
        <f aca="false">IF(OR(E52="",D13=""),"",E52/D13)</f>
        <v/>
      </c>
      <c r="F58" s="62" t="str">
        <f aca="false">IF(OR(F52="",D13=""),"",F52/D13)</f>
        <v/>
      </c>
      <c r="G58" s="62" t="str">
        <f aca="false">IF(OR(G52="",D13=""),"",G52/D13)</f>
        <v/>
      </c>
      <c r="H58" s="62" t="str">
        <f aca="false">IF(OR(H52="",D13=""),"",H52/D13)</f>
        <v/>
      </c>
    </row>
    <row r="59" customFormat="false" ht="15" hidden="false" customHeight="true" outlineLevel="0" collapsed="false">
      <c r="A59" s="22" t="s">
        <v>361</v>
      </c>
      <c r="B59" s="22"/>
      <c r="C59" s="22"/>
      <c r="D59" s="61" t="str">
        <f aca="false">IF(OR(D52="",H47=""),"",(D52-H47)/H47)</f>
        <v/>
      </c>
      <c r="E59" s="61" t="str">
        <f aca="false">IF(OR(E52="",H47=""),"",(E52-H47)/H47)</f>
        <v/>
      </c>
      <c r="F59" s="61" t="str">
        <f aca="false">IF(OR(F52="",H47=""),"",(F52-H47)/H47)</f>
        <v/>
      </c>
      <c r="G59" s="61" t="str">
        <f aca="false">IF(OR(G52="",H47=""),"",(G52-H47)/H47)</f>
        <v/>
      </c>
      <c r="H59" s="61" t="str">
        <f aca="false">IF(OR(H52="",H47=""),"",(H52-H47)/H47)</f>
        <v/>
      </c>
    </row>
    <row r="60" customFormat="false" ht="15" hidden="false" customHeight="true" outlineLevel="0" collapsed="false">
      <c r="A60" s="22" t="s">
        <v>362</v>
      </c>
      <c r="B60" s="22"/>
      <c r="C60" s="22"/>
      <c r="D60" s="63" t="n">
        <f aca="true">IF(D52="","",SUMPRODUCT(D52*(1+IF(D53="",0,D53))^ROUNDDOWN((ROW(INDIRECT("1:10"))-1)/IF(D54="",5,D54),0)))</f>
        <v>590314.7</v>
      </c>
      <c r="E60" s="63" t="str">
        <f aca="true">IF(E52="","",SUMPRODUCT(E52*(1+IF(E53="",0,E53))^ROUNDDOWN((ROW(INDIRECT("1:10"))-1)/IF(E54="",5,E54),0)))</f>
        <v/>
      </c>
      <c r="F60" s="63" t="str">
        <f aca="true">IF(F52="","",SUMPRODUCT(F52*(1+IF(F53="",0,F53))^ROUNDDOWN((ROW(INDIRECT("1:10"))-1)/IF(F54="",5,F54),0)))</f>
        <v/>
      </c>
      <c r="G60" s="63" t="str">
        <f aca="true">IF(G52="","",SUMPRODUCT(G52*(1+IF(G53="",0,G53))^ROUNDDOWN((ROW(INDIRECT("1:10"))-1)/IF(G54="",5,G54),0)))</f>
        <v/>
      </c>
      <c r="H60" s="63" t="str">
        <f aca="true">IF(H52="","",SUMPRODUCT(H52*(1+IF(H53="",0,H53))^ROUNDDOWN((ROW(INDIRECT("1:10"))-1)/IF(H54="",5,H54),0)))</f>
        <v/>
      </c>
    </row>
    <row r="61" customFormat="false" ht="15" hidden="false" customHeight="true" outlineLevel="0" collapsed="false">
      <c r="A61" s="22" t="s">
        <v>363</v>
      </c>
      <c r="B61" s="22"/>
      <c r="C61" s="22"/>
      <c r="D61" s="60" t="n">
        <f aca="false">IF(OR(D60="",E21=""),"",D60-E21)</f>
        <v>374059.172</v>
      </c>
      <c r="E61" s="60" t="str">
        <f aca="false">IF(OR(E60="",E21=""),"",E60-E21)</f>
        <v/>
      </c>
      <c r="F61" s="60" t="str">
        <f aca="false">IF(OR(F60="",E21=""),"",F60-E21)</f>
        <v/>
      </c>
      <c r="G61" s="60" t="str">
        <f aca="false">IF(OR(G60="",E21=""),"",G60-E21)</f>
        <v/>
      </c>
      <c r="H61" s="60" t="str">
        <f aca="false">IF(OR(H60="",E21=""),"",H60-E21)</f>
        <v/>
      </c>
    </row>
    <row r="62" customFormat="false" ht="23.85" hidden="false" customHeight="true" outlineLevel="0" collapsed="false">
      <c r="A62" s="22" t="s">
        <v>364</v>
      </c>
      <c r="B62" s="22"/>
      <c r="C62" s="22"/>
      <c r="D62" s="58"/>
      <c r="E62" s="58"/>
      <c r="F62" s="58"/>
      <c r="G62" s="58"/>
      <c r="H62" s="58"/>
    </row>
    <row r="63" customFormat="false" ht="23.85" hidden="false" customHeight="true" outlineLevel="0" collapsed="false">
      <c r="A63" s="22" t="s">
        <v>365</v>
      </c>
      <c r="B63" s="22"/>
      <c r="C63" s="22"/>
      <c r="D63" s="57"/>
      <c r="E63" s="57"/>
      <c r="F63" s="57"/>
      <c r="G63" s="57"/>
      <c r="H63" s="57"/>
    </row>
    <row r="64" customFormat="false" ht="15" hidden="false" customHeight="true" outlineLevel="0" collapsed="false">
      <c r="A64" s="22" t="s">
        <v>366</v>
      </c>
      <c r="B64" s="22"/>
      <c r="C64" s="22"/>
      <c r="D64" s="63" t="str">
        <f aca="false">IF(OR(D52="",AND(D62="",$D$35="")),"",IF(IF(D62="",IF($D$35="",0,$D$35),D62)=0,"— (% rent removed)",IF(D63&lt;&gt;"",D63,IF($D$37&lt;&gt;"",$D$37,D52/IF(D62="",IF($D$35="",0,$D$35),D62)))))</f>
        <v>— (% rent removed)</v>
      </c>
      <c r="E64" s="63" t="str">
        <f aca="false">IF(OR(E52="",AND(E62="",$D$35="")),"",IF(IF(E62="",IF($D$35="",0,$D$35),E62)=0,"— (% rent removed)",IF(E63&lt;&gt;"",E63,IF($D$37&lt;&gt;"",$D$37,E52/IF(E62="",IF($D$35="",0,$D$35),E62)))))</f>
        <v/>
      </c>
      <c r="F64" s="63" t="str">
        <f aca="false">IF(OR(F52="",AND(F62="",$D$35="")),"",IF(IF(F62="",IF($D$35="",0,$D$35),F62)=0,"— (% rent removed)",IF(F63&lt;&gt;"",F63,IF($D$37&lt;&gt;"",$D$37,F52/IF(F62="",IF($D$35="",0,$D$35),F62)))))</f>
        <v/>
      </c>
      <c r="G64" s="63" t="str">
        <f aca="false">IF(OR(G52="",AND(G62="",$D$35="")),"",IF(IF(G62="",IF($D$35="",0,$D$35),G62)=0,"— (% rent removed)",IF(G63&lt;&gt;"",G63,IF($D$37&lt;&gt;"",$D$37,G52/IF(G62="",IF($D$35="",0,$D$35),G62)))))</f>
        <v/>
      </c>
      <c r="H64" s="63" t="str">
        <f aca="false">IF(OR(H52="",AND(H62="",$D$35="")),"",IF(IF(H62="",IF($D$35="",0,$D$35),H62)=0,"— (% rent removed)",IF(H63&lt;&gt;"",H63,IF($D$37&lt;&gt;"",$D$37,H52/IF(H62="",IF($D$35="",0,$D$35),H62)))))</f>
        <v/>
      </c>
    </row>
    <row r="65" customFormat="false" ht="15" hidden="false" customHeight="true" outlineLevel="0" collapsed="false">
      <c r="A65" s="22" t="s">
        <v>367</v>
      </c>
      <c r="B65" s="22"/>
      <c r="C65" s="22"/>
      <c r="D65" s="63" t="n">
        <f aca="false">IF(OR(D52="",AND(D62="",$D$35=""),D13=""),"",IF(IF(D62="",IF($D$35="",0,$D$35),D62)=0,0,MAX(0,D13-D64)*IF(D62="",IF($D$35="",0,$D$35),D62)))</f>
        <v>0</v>
      </c>
      <c r="E65" s="63" t="str">
        <f aca="false">IF(OR(E52="",AND(E62="",$D$35=""),D13=""),"",IF(IF(E62="",IF($D$35="",0,$D$35),E62)=0,0,MAX(0,D13-E64)*IF(E62="",IF($D$35="",0,$D$35),E62)))</f>
        <v/>
      </c>
      <c r="F65" s="63" t="str">
        <f aca="false">IF(OR(F52="",AND(F62="",$D$35=""),D13=""),"",IF(IF(F62="",IF($D$35="",0,$D$35),F62)=0,0,MAX(0,D13-F64)*IF(F62="",IF($D$35="",0,$D$35),F62)))</f>
        <v/>
      </c>
      <c r="G65" s="63" t="str">
        <f aca="false">IF(OR(G52="",AND(G62="",$D$35=""),D13=""),"",IF(IF(G62="",IF($D$35="",0,$D$35),G62)=0,0,MAX(0,D13-G64)*IF(G62="",IF($D$35="",0,$D$35),G62)))</f>
        <v/>
      </c>
      <c r="H65" s="63" t="str">
        <f aca="false">IF(OR(H52="",AND(H62="",$D$35=""),D13=""),"",IF(IF(H62="",IF($D$35="",0,$D$35),H62)=0,0,MAX(0,D13-H64)*IF(H62="",IF($D$35="",0,$D$35),H62)))</f>
        <v/>
      </c>
    </row>
    <row r="66" customFormat="false" ht="15" hidden="false" customHeight="true" outlineLevel="0" collapsed="false">
      <c r="A66" s="22" t="s">
        <v>368</v>
      </c>
      <c r="B66" s="22"/>
      <c r="C66" s="22"/>
      <c r="D66" s="63" t="n">
        <f aca="false">IF(OR(D52="",D65=""),"",D52+D65)</f>
        <v>58447</v>
      </c>
      <c r="E66" s="63" t="str">
        <f aca="false">IF(OR(E52="",E65=""),"",E52+E65)</f>
        <v/>
      </c>
      <c r="F66" s="63" t="str">
        <f aca="false">IF(OR(F52="",F65=""),"",F52+F65)</f>
        <v/>
      </c>
      <c r="G66" s="63" t="str">
        <f aca="false">IF(OR(G52="",G65=""),"",G52+G65)</f>
        <v/>
      </c>
      <c r="H66" s="63" t="str">
        <f aca="false">IF(OR(H52="",H65=""),"",H52+H65)</f>
        <v/>
      </c>
    </row>
    <row r="67" customFormat="false" ht="15" hidden="false" customHeight="true" outlineLevel="0" collapsed="false">
      <c r="A67" s="22" t="s">
        <v>369</v>
      </c>
      <c r="B67" s="22"/>
      <c r="C67" s="22"/>
      <c r="D67" s="62" t="n">
        <f aca="false">IF(OR(D66="",D13=""),"",D66/D13)</f>
        <v>0.0212022773365108</v>
      </c>
      <c r="E67" s="62" t="str">
        <f aca="false">IF(OR(E66="",D13=""),"",E66/D13)</f>
        <v/>
      </c>
      <c r="F67" s="62" t="str">
        <f aca="false">IF(OR(F66="",D13=""),"",F66/D13)</f>
        <v/>
      </c>
      <c r="G67" s="62" t="str">
        <f aca="false">IF(OR(G66="",D13=""),"",G66/D13)</f>
        <v/>
      </c>
      <c r="H67" s="62" t="str">
        <f aca="false">IF(OR(H66="",D13=""),"",H66/D13)</f>
        <v/>
      </c>
    </row>
    <row r="68" customFormat="false" ht="23.85" hidden="false" customHeight="true" outlineLevel="0" collapsed="false">
      <c r="A68" s="22" t="s">
        <v>370</v>
      </c>
      <c r="B68" s="22"/>
      <c r="C68" s="22"/>
      <c r="D68" s="64" t="n">
        <f aca="false">IF(D66="","",(864408.99-D66)/2756637.84)</f>
        <v>0.292371372947561</v>
      </c>
      <c r="E68" s="64" t="str">
        <f aca="false">IF(E66="","",(864408.99-E66)/2756637.84)</f>
        <v/>
      </c>
      <c r="F68" s="64" t="str">
        <f aca="false">IF(F66="","",(864408.99-F66)/2756637.84)</f>
        <v/>
      </c>
      <c r="G68" s="64" t="str">
        <f aca="false">IF(G66="","",(864408.99-G66)/2756637.84)</f>
        <v/>
      </c>
      <c r="H68" s="64" t="str">
        <f aca="false">IF(H66="","",(864408.99-H66)/2756637.84)</f>
        <v/>
      </c>
    </row>
    <row r="69" customFormat="false" ht="15" hidden="false" customHeight="true" outlineLevel="0" collapsed="false">
      <c r="A69" s="22" t="s">
        <v>371</v>
      </c>
      <c r="B69" s="22"/>
      <c r="C69" s="22"/>
      <c r="D69" s="63" t="n">
        <f aca="true">IF(OR(D52="",AND(D62="",$D$35=""),D13=""),"",IF(IF(D62="",IF($D$35="",0,$D$35),D62)=0,0,SUMPRODUCT(((D13*1.02^(ROW(INDIRECT("1:10"))-1))-(IF(D63&lt;&gt;"",D63,IF($D$37&lt;&gt;"",$D$37,(D52*(1+IF(D53="",0,D53))^ROUNDDOWN((ROW(INDIRECT("1:10"))-1)/IF(D54="",5,D54),0))/IF(D62="",IF($D$35="",0,$D$35),D62))))&gt;0)*((D13*1.02^(ROW(INDIRECT("1:10"))-1))-(IF(D63&lt;&gt;"",D63,IF($D$37&lt;&gt;"",$D$37,(D52*(1+IF(D53="",0,D53))^ROUNDDOWN((ROW(INDIRECT("1:10"))-1)/IF(D54="",5,D54),0))/IF(D62="",IF($D$35="",0,$D$35),D62))))))*IF(D62="",IF($D$35="",0,$D$35),D62)))</f>
        <v>0</v>
      </c>
      <c r="E69" s="63" t="str">
        <f aca="true">IF(OR(E52="",AND(E62="",$D$35=""),D13=""),"",IF(IF(E62="",IF($D$35="",0,$D$35),E62)=0,0,SUMPRODUCT(((D13*1.02^(ROW(INDIRECT("1:10"))-1))-(IF(E63&lt;&gt;"",E63,IF($D$37&lt;&gt;"",$D$37,(E52*(1+IF(E53="",0,E53))^ROUNDDOWN((ROW(INDIRECT("1:10"))-1)/IF(E54="",5,E54),0))/IF(E62="",IF($D$35="",0,$D$35),E62))))&gt;0)*((D13*1.02^(ROW(INDIRECT("1:10"))-1))-(IF(E63&lt;&gt;"",E63,IF($D$37&lt;&gt;"",$D$37,(E52*(1+IF(E53="",0,E53))^ROUNDDOWN((ROW(INDIRECT("1:10"))-1)/IF(E54="",5,E54),0))/IF(E62="",IF($D$35="",0,$D$35),E62))))))*IF(E62="",IF($D$35="",0,$D$35),E62)))</f>
        <v/>
      </c>
      <c r="F69" s="63" t="str">
        <f aca="true">IF(OR(F52="",AND(F62="",$D$35=""),D13=""),"",IF(IF(F62="",IF($D$35="",0,$D$35),F62)=0,0,SUMPRODUCT(((D13*1.02^(ROW(INDIRECT("1:10"))-1))-(IF(F63&lt;&gt;"",F63,IF($D$37&lt;&gt;"",$D$37,(F52*(1+IF(F53="",0,F53))^ROUNDDOWN((ROW(INDIRECT("1:10"))-1)/IF(F54="",5,F54),0))/IF(F62="",IF($D$35="",0,$D$35),F62))))&gt;0)*((D13*1.02^(ROW(INDIRECT("1:10"))-1))-(IF(F63&lt;&gt;"",F63,IF($D$37&lt;&gt;"",$D$37,(F52*(1+IF(F53="",0,F53))^ROUNDDOWN((ROW(INDIRECT("1:10"))-1)/IF(F54="",5,F54),0))/IF(F62="",IF($D$35="",0,$D$35),F62))))))*IF(F62="",IF($D$35="",0,$D$35),F62)))</f>
        <v/>
      </c>
      <c r="G69" s="63" t="str">
        <f aca="true">IF(OR(G52="",AND(G62="",$D$35=""),D13=""),"",IF(IF(G62="",IF($D$35="",0,$D$35),G62)=0,0,SUMPRODUCT(((D13*1.02^(ROW(INDIRECT("1:10"))-1))-(IF(G63&lt;&gt;"",G63,IF($D$37&lt;&gt;"",$D$37,(G52*(1+IF(G53="",0,G53))^ROUNDDOWN((ROW(INDIRECT("1:10"))-1)/IF(G54="",5,G54),0))/IF(G62="",IF($D$35="",0,$D$35),G62))))&gt;0)*((D13*1.02^(ROW(INDIRECT("1:10"))-1))-(IF(G63&lt;&gt;"",G63,IF($D$37&lt;&gt;"",$D$37,(G52*(1+IF(G53="",0,G53))^ROUNDDOWN((ROW(INDIRECT("1:10"))-1)/IF(G54="",5,G54),0))/IF(G62="",IF($D$35="",0,$D$35),G62))))))*IF(G62="",IF($D$35="",0,$D$35),G62)))</f>
        <v/>
      </c>
      <c r="H69" s="63" t="str">
        <f aca="true">IF(OR(H52="",AND(H62="",$D$35=""),D13=""),"",IF(IF(H62="",IF($D$35="",0,$D$35),H62)=0,0,SUMPRODUCT(((D13*1.02^(ROW(INDIRECT("1:10"))-1))-(IF(H63&lt;&gt;"",H63,IF($D$37&lt;&gt;"",$D$37,(H52*(1+IF(H53="",0,H53))^ROUNDDOWN((ROW(INDIRECT("1:10"))-1)/IF(H54="",5,H54),0))/IF(H62="",IF($D$35="",0,$D$35),H62))))&gt;0)*((D13*1.02^(ROW(INDIRECT("1:10"))-1))-(IF(H63&lt;&gt;"",H63,IF($D$37&lt;&gt;"",$D$37,(H52*(1+IF(H53="",0,H53))^ROUNDDOWN((ROW(INDIRECT("1:10"))-1)/IF(H54="",5,H54),0))/IF(H62="",IF($D$35="",0,$D$35),H62))))))*IF(H62="",IF($D$35="",0,$D$35),H62)))</f>
        <v/>
      </c>
    </row>
    <row r="70" customFormat="false" ht="15" hidden="false" customHeight="true" outlineLevel="0" collapsed="false">
      <c r="A70" s="22" t="s">
        <v>372</v>
      </c>
      <c r="B70" s="22"/>
      <c r="C70" s="22"/>
      <c r="D70" s="63" t="n">
        <f aca="false">IF(OR(D60="",D69=""),"",D60+D69)</f>
        <v>590314.7</v>
      </c>
      <c r="E70" s="63" t="str">
        <f aca="false">IF(OR(E60="",E69=""),"",E60+E69)</f>
        <v/>
      </c>
      <c r="F70" s="63" t="str">
        <f aca="false">IF(OR(F60="",F69=""),"",F60+F69)</f>
        <v/>
      </c>
      <c r="G70" s="63" t="str">
        <f aca="false">IF(OR(G60="",G69=""),"",G60+G69)</f>
        <v/>
      </c>
      <c r="H70" s="63" t="str">
        <f aca="false">IF(OR(H60="",H69=""),"",H60+H69)</f>
        <v/>
      </c>
    </row>
    <row r="71" customFormat="false" ht="23.85" hidden="false" customHeight="true" outlineLevel="0" collapsed="false">
      <c r="A71" s="22" t="s">
        <v>373</v>
      </c>
      <c r="B71" s="22"/>
      <c r="C71" s="22"/>
      <c r="D71" s="65" t="n">
        <f aca="true">IF(D52="","",SUMPRODUCT(D52*(1+IF(D53="",0,D53))^ROUNDDOWN((ROW(INDIRECT("1:"&amp;IF(D55="",10,D55)))-1)/IF(D54="",5,D54),0))+IF(OR(D13="",IF(D62="",IF($D$35="",0,$D$35),D62)=0),0,SUMPRODUCT(((D13*1.02^(ROW(INDIRECT("1:"&amp;IF(D55="",10,D55)))-1))-(IF(D63&lt;&gt;"",D63,IF($D$37&lt;&gt;"",$D$37,(D52*(1+IF(D53="",0,D53))^ROUNDDOWN((ROW(INDIRECT("1:"&amp;IF(D55="",10,D55)))-1)/IF(D54="",5,D54),0))/IF(D62="",IF($D$35="",0,$D$35),D62))))&gt;0)*((D13*1.02^(ROW(INDIRECT("1:"&amp;IF(D55="",10,D55)))-1))-(IF(D63&lt;&gt;"",D63,IF($D$37&lt;&gt;"",$D$37,(D52*(1+IF(D53="",0,D53))^ROUNDDOWN((ROW(INDIRECT("1:"&amp;IF(D55="",10,D55)))-1)/IF(D54="",5,D54),0))/IF(D62="",IF($D$35="",0,$D$35),D62))))))*IF(D62="",IF($D$35="",0,$D$35),D62)))</f>
        <v>1204478.11388</v>
      </c>
      <c r="E71" s="65" t="str">
        <f aca="true">IF(E52="","",SUMPRODUCT(E52*(1+IF(E53="",0,E53))^ROUNDDOWN((ROW(INDIRECT("1:"&amp;IF(E55="",10,E55)))-1)/IF(E54="",5,E54),0))+IF(OR(D13="",IF(E62="",IF($D$35="",0,$D$35),E62)=0),0,SUMPRODUCT(((D13*1.02^(ROW(INDIRECT("1:"&amp;IF(E55="",10,E55)))-1))-(IF(E63&lt;&gt;"",E63,IF($D$37&lt;&gt;"",$D$37,(E52*(1+IF(E53="",0,E53))^ROUNDDOWN((ROW(INDIRECT("1:"&amp;IF(E55="",10,E55)))-1)/IF(E54="",5,E54),0))/IF(E62="",IF($D$35="",0,$D$35),E62))))&gt;0)*((D13*1.02^(ROW(INDIRECT("1:"&amp;IF(E55="",10,E55)))-1))-(IF(E63&lt;&gt;"",E63,IF($D$37&lt;&gt;"",$D$37,(E52*(1+IF(E53="",0,E53))^ROUNDDOWN((ROW(INDIRECT("1:"&amp;IF(E55="",10,E55)))-1)/IF(E54="",5,E54),0))/IF(E62="",IF($D$35="",0,$D$35),E62))))))*IF(E62="",IF($D$35="",0,$D$35),E62)))</f>
        <v/>
      </c>
      <c r="F71" s="65" t="str">
        <f aca="true">IF(F52="","",SUMPRODUCT(F52*(1+IF(F53="",0,F53))^ROUNDDOWN((ROW(INDIRECT("1:"&amp;IF(F55="",10,F55)))-1)/IF(F54="",5,F54),0))+IF(OR(D13="",IF(F62="",IF($D$35="",0,$D$35),F62)=0),0,SUMPRODUCT(((D13*1.02^(ROW(INDIRECT("1:"&amp;IF(F55="",10,F55)))-1))-(IF(F63&lt;&gt;"",F63,IF($D$37&lt;&gt;"",$D$37,(F52*(1+IF(F53="",0,F53))^ROUNDDOWN((ROW(INDIRECT("1:"&amp;IF(F55="",10,F55)))-1)/IF(F54="",5,F54),0))/IF(F62="",IF($D$35="",0,$D$35),F62))))&gt;0)*((D13*1.02^(ROW(INDIRECT("1:"&amp;IF(F55="",10,F55)))-1))-(IF(F63&lt;&gt;"",F63,IF($D$37&lt;&gt;"",$D$37,(F52*(1+IF(F53="",0,F53))^ROUNDDOWN((ROW(INDIRECT("1:"&amp;IF(F55="",10,F55)))-1)/IF(F54="",5,F54),0))/IF(F62="",IF($D$35="",0,$D$35),F62))))))*IF(F62="",IF($D$35="",0,$D$35),F62)))</f>
        <v/>
      </c>
      <c r="G71" s="65" t="str">
        <f aca="true">IF(G52="","",SUMPRODUCT(G52*(1+IF(G53="",0,G53))^ROUNDDOWN((ROW(INDIRECT("1:"&amp;IF(G55="",10,G55)))-1)/IF(G54="",5,G54),0))+IF(OR(D13="",IF(G62="",IF($D$35="",0,$D$35),G62)=0),0,SUMPRODUCT(((D13*1.02^(ROW(INDIRECT("1:"&amp;IF(G55="",10,G55)))-1))-(IF(G63&lt;&gt;"",G63,IF($D$37&lt;&gt;"",$D$37,(G52*(1+IF(G53="",0,G53))^ROUNDDOWN((ROW(INDIRECT("1:"&amp;IF(G55="",10,G55)))-1)/IF(G54="",5,G54),0))/IF(G62="",IF($D$35="",0,$D$35),G62))))&gt;0)*((D13*1.02^(ROW(INDIRECT("1:"&amp;IF(G55="",10,G55)))-1))-(IF(G63&lt;&gt;"",G63,IF($D$37&lt;&gt;"",$D$37,(G52*(1+IF(G53="",0,G53))^ROUNDDOWN((ROW(INDIRECT("1:"&amp;IF(G55="",10,G55)))-1)/IF(G54="",5,G54),0))/IF(G62="",IF($D$35="",0,$D$35),G62))))))*IF(G62="",IF($D$35="",0,$D$35),G62)))</f>
        <v/>
      </c>
      <c r="H71" s="65" t="str">
        <f aca="true">IF(H52="","",SUMPRODUCT(H52*(1+IF(H53="",0,H53))^ROUNDDOWN((ROW(INDIRECT("1:"&amp;IF(H55="",10,H55)))-1)/IF(H54="",5,H54),0))+IF(OR(D13="",IF(H62="",IF($D$35="",0,$D$35),H62)=0),0,SUMPRODUCT(((D13*1.02^(ROW(INDIRECT("1:"&amp;IF(H55="",10,H55)))-1))-(IF(H63&lt;&gt;"",H63,IF($D$37&lt;&gt;"",$D$37,(H52*(1+IF(H53="",0,H53))^ROUNDDOWN((ROW(INDIRECT("1:"&amp;IF(H55="",10,H55)))-1)/IF(H54="",5,H54),0))/IF(H62="",IF($D$35="",0,$D$35),H62))))&gt;0)*((D13*1.02^(ROW(INDIRECT("1:"&amp;IF(H55="",10,H55)))-1))-(IF(H63&lt;&gt;"",H63,IF($D$37&lt;&gt;"",$D$37,(H52*(1+IF(H53="",0,H53))^ROUNDDOWN((ROW(INDIRECT("1:"&amp;IF(H55="",10,H55)))-1)/IF(H54="",5,H54),0))/IF(H62="",IF($D$35="",0,$D$35),H62))))))*IF(H62="",IF($D$35="",0,$D$35),H62)))</f>
        <v/>
      </c>
    </row>
    <row r="72" customFormat="false" ht="15" hidden="false" customHeight="true" outlineLevel="0" collapsed="false">
      <c r="A72" s="22" t="s">
        <v>374</v>
      </c>
      <c r="B72" s="22"/>
      <c r="C72" s="22"/>
      <c r="D72" s="62" t="n">
        <f aca="false">IF(D52="","",IF(D53="",0,(1+D53)^(5/IF(D54="",5,D54))-1))</f>
        <v>0.02</v>
      </c>
      <c r="E72" s="62" t="str">
        <f aca="false">IF(E52="","",IF(E53="",0,(1+E53)^(5/IF(E54="",5,E54))-1))</f>
        <v/>
      </c>
      <c r="F72" s="62" t="str">
        <f aca="false">IF(F52="","",IF(F53="",0,(1+F53)^(5/IF(F54="",5,F54))-1))</f>
        <v/>
      </c>
      <c r="G72" s="62" t="str">
        <f aca="false">IF(G52="","",IF(G53="",0,(1+G53)^(5/IF(G54="",5,G54))-1))</f>
        <v/>
      </c>
      <c r="H72" s="62" t="str">
        <f aca="false">IF(H52="","",IF(H53="",0,(1+H53)^(5/IF(H54="",5,H54))-1))</f>
        <v/>
      </c>
    </row>
    <row r="73" customFormat="false" ht="43.25" hidden="false" customHeight="true" outlineLevel="0" collapsed="false">
      <c r="A73" s="22" t="s">
        <v>375</v>
      </c>
      <c r="B73" s="22"/>
      <c r="C73" s="22"/>
      <c r="D73" s="66" t="str">
        <f aca="false">IF(D72="","",IF(D72&lt;=0,"REDUCTION / FLAT — ladder steps 1-2 (best)",IF(D72&lt;=0.08,"OK — within 8%/5-yr in-house authority (ladder step 3)","ABOVE 8%/5-yr — CEO SIGN-OFF REQUIRED (Rob 8/5/26)")))</f>
        <v>OK — within 8%/5-yr in-house authority (ladder step 3)</v>
      </c>
      <c r="E73" s="66" t="str">
        <f aca="false">IF(E72="","",IF(E72&lt;=0,"REDUCTION / FLAT — ladder steps 1-2 (best)",IF(E72&lt;=0.08,"OK — within 8%/5-yr in-house authority (ladder step 3)","ABOVE 8%/5-yr — CEO SIGN-OFF REQUIRED (Rob 8/5/26)")))</f>
        <v/>
      </c>
      <c r="F73" s="66" t="str">
        <f aca="false">IF(F72="","",IF(F72&lt;=0,"REDUCTION / FLAT — ladder steps 1-2 (best)",IF(F72&lt;=0.08,"OK — within 8%/5-yr in-house authority (ladder step 3)","ABOVE 8%/5-yr — CEO SIGN-OFF REQUIRED (Rob 8/5/26)")))</f>
        <v/>
      </c>
      <c r="G73" s="66" t="str">
        <f aca="false">IF(G72="","",IF(G72&lt;=0,"REDUCTION / FLAT — ladder steps 1-2 (best)",IF(G72&lt;=0.08,"OK — within 8%/5-yr in-house authority (ladder step 3)","ABOVE 8%/5-yr — CEO SIGN-OFF REQUIRED (Rob 8/5/26)")))</f>
        <v/>
      </c>
      <c r="H73" s="66" t="str">
        <f aca="false">IF(H72="","",IF(H72&lt;=0,"REDUCTION / FLAT — ladder steps 1-2 (best)",IF(H72&lt;=0.08,"OK — within 8%/5-yr in-house authority (ladder step 3)","ABOVE 8%/5-yr — CEO SIGN-OFF REQUIRED (Rob 8/5/26)")))</f>
        <v/>
      </c>
    </row>
    <row r="74" customFormat="false" ht="23.85" hidden="false" customHeight="true" outlineLevel="0" collapsed="false">
      <c r="A74" s="22" t="s">
        <v>376</v>
      </c>
      <c r="B74" s="22"/>
      <c r="C74" s="22"/>
      <c r="D74" s="62" t="n">
        <f aca="false">IF(OR(D52="",D13=""),"",((D52*(1+IF(D53="",0,D53))^ROUNDDOWN(9/IF(D54="",5,D54),0))+IF(IF(D62="",IF($D$35="",0,$D$35),D62)=0,0,MAX(0,D13*1.02^9-IF(D63&lt;&gt;"",D63,IF($D$37&lt;&gt;"",$D$37,(D52*(1+IF(D53="",0,D53))^ROUNDDOWN(9/IF(D54="",5,D54),0))/IF(D62="",IF($D$35="",0,$D$35),D62))))*IF(D62="",IF($D$35="",0,$D$35),D62)))/(D13*1.02^9))</f>
        <v>0.0180959395540143</v>
      </c>
      <c r="E74" s="62" t="str">
        <f aca="false">IF(OR(E52="",D13=""),"",((E52*(1+IF(E53="",0,E53))^ROUNDDOWN(9/IF(E54="",5,E54),0))+IF(IF(E62="",IF($D$35="",0,$D$35),E62)=0,0,MAX(0,D13*1.02^9-IF(E63&lt;&gt;"",E63,IF($D$37&lt;&gt;"",$D$37,(E52*(1+IF(E53="",0,E53))^ROUNDDOWN(9/IF(E54="",5,E54),0))/IF(E62="",IF($D$35="",0,$D$35),E62))))*IF(E62="",IF($D$35="",0,$D$35),E62)))/(D13*1.02^9))</f>
        <v/>
      </c>
      <c r="F74" s="62" t="str">
        <f aca="false">IF(OR(F52="",D13=""),"",((F52*(1+IF(F53="",0,F53))^ROUNDDOWN(9/IF(F54="",5,F54),0))+IF(IF(F62="",IF($D$35="",0,$D$35),F62)=0,0,MAX(0,D13*1.02^9-IF(F63&lt;&gt;"",F63,IF($D$37&lt;&gt;"",$D$37,(F52*(1+IF(F53="",0,F53))^ROUNDDOWN(9/IF(F54="",5,F54),0))/IF(F62="",IF($D$35="",0,$D$35),F62))))*IF(F62="",IF($D$35="",0,$D$35),F62)))/(D13*1.02^9))</f>
        <v/>
      </c>
      <c r="G74" s="62" t="str">
        <f aca="false">IF(OR(G52="",D13=""),"",((G52*(1+IF(G53="",0,G53))^ROUNDDOWN(9/IF(G54="",5,G54),0))+IF(IF(G62="",IF($D$35="",0,$D$35),G62)=0,0,MAX(0,D13*1.02^9-IF(G63&lt;&gt;"",G63,IF($D$37&lt;&gt;"",$D$37,(G52*(1+IF(G53="",0,G53))^ROUNDDOWN(9/IF(G54="",5,G54),0))/IF(G62="",IF($D$35="",0,$D$35),G62))))*IF(G62="",IF($D$35="",0,$D$35),G62)))/(D13*1.02^9))</f>
        <v/>
      </c>
      <c r="H74" s="62" t="str">
        <f aca="false">IF(OR(H52="",D13=""),"",((H52*(1+IF(H53="",0,H53))^ROUNDDOWN(9/IF(H54="",5,H54),0))+IF(IF(H62="",IF($D$35="",0,$D$35),H62)=0,0,MAX(0,D13*1.02^9-IF(H63&lt;&gt;"",H63,IF($D$37&lt;&gt;"",$D$37,(H52*(1+IF(H53="",0,H53))^ROUNDDOWN(9/IF(H54="",5,H54),0))/IF(H62="",IF($D$35="",0,$D$35),H62))))*IF(H62="",IF($D$35="",0,$D$35),H62)))/(D13*1.02^9))</f>
        <v/>
      </c>
    </row>
    <row r="75" customFormat="false" ht="23.85" hidden="false" customHeight="true" outlineLevel="0" collapsed="false">
      <c r="A75" s="22" t="s">
        <v>377</v>
      </c>
      <c r="B75" s="22"/>
      <c r="C75" s="22"/>
      <c r="D75" s="66" t="str">
        <f aca="false">IF(OR(D74="",D67=""),"",IF(MAX(D67,D74)&gt;=0.08,"HARD STOP — occupancy at/above 8% of sales: STOP, CEO sign-off before responding",IF(MAX(D67,D74)&gt;0.07,"Above Kim 7% alert — approaching 8% hard stop","OK — under 7% alert")))</f>
        <v>OK — under 7% alert</v>
      </c>
      <c r="E75" s="66" t="str">
        <f aca="false">IF(OR(E74="",E67=""),"",IF(MAX(E67,E74)&gt;=0.08,"HARD STOP — occupancy at/above 8% of sales: STOP, CEO sign-off before responding",IF(MAX(E67,E74)&gt;0.07,"Above Kim 7% alert — approaching 8% hard stop","OK — under 7% alert")))</f>
        <v/>
      </c>
      <c r="F75" s="66" t="str">
        <f aca="false">IF(OR(F74="",F67=""),"",IF(MAX(F67,F74)&gt;=0.08,"HARD STOP — occupancy at/above 8% of sales: STOP, CEO sign-off before responding",IF(MAX(F67,F74)&gt;0.07,"Above Kim 7% alert — approaching 8% hard stop","OK — under 7% alert")))</f>
        <v/>
      </c>
      <c r="G75" s="66" t="str">
        <f aca="false">IF(OR(G74="",G67=""),"",IF(MAX(G67,G74)&gt;=0.08,"HARD STOP — occupancy at/above 8% of sales: STOP, CEO sign-off before responding",IF(MAX(G67,G74)&gt;0.07,"Above Kim 7% alert — approaching 8% hard stop","OK — under 7% alert")))</f>
        <v/>
      </c>
      <c r="H75" s="66" t="str">
        <f aca="false">IF(OR(H74="",H67=""),"",IF(MAX(H67,H74)&gt;=0.08,"HARD STOP — occupancy at/above 8% of sales: STOP, CEO sign-off before responding",IF(MAX(H67,H74)&gt;0.07,"Above Kim 7% alert — approaching 8% hard stop","OK — under 7% alert")))</f>
        <v/>
      </c>
    </row>
    <row r="77" customFormat="false" ht="22.35" hidden="false" customHeight="true" outlineLevel="0" collapsed="false">
      <c r="A77" s="68" t="s">
        <v>379</v>
      </c>
      <c r="B77" s="68"/>
      <c r="C77" s="68"/>
      <c r="D77" s="68"/>
      <c r="E77" s="68"/>
      <c r="F77" s="68"/>
      <c r="G77" s="68"/>
      <c r="H77" s="68"/>
      <c r="I77" s="68"/>
      <c r="J77" s="68"/>
    </row>
    <row r="79" customFormat="false" ht="15" hidden="false" customHeight="false" outlineLevel="0" collapsed="false">
      <c r="A79" s="69" t="s">
        <v>380</v>
      </c>
      <c r="B79" s="69"/>
      <c r="C79" s="69"/>
      <c r="D79" s="69"/>
      <c r="E79" s="69"/>
      <c r="F79" s="69"/>
      <c r="G79" s="69"/>
      <c r="H79" s="69"/>
      <c r="I79" s="69"/>
      <c r="J79" s="69"/>
    </row>
    <row r="82" customFormat="false" ht="15" hidden="false" customHeight="false" outlineLevel="0" collapsed="false">
      <c r="A82" s="25" t="s">
        <v>381</v>
      </c>
    </row>
    <row r="83" customFormat="false" ht="15" hidden="false" customHeight="false" outlineLevel="0" collapsed="false">
      <c r="A83" s="69" t="s">
        <v>382</v>
      </c>
      <c r="B83" s="69"/>
      <c r="C83" s="69"/>
      <c r="D83" s="69"/>
      <c r="E83" s="69"/>
      <c r="F83" s="69"/>
      <c r="G83" s="69"/>
      <c r="H83" s="69"/>
      <c r="I83" s="69"/>
      <c r="J83" s="69"/>
      <c r="K83" s="69"/>
      <c r="L83" s="69"/>
      <c r="M83" s="69"/>
      <c r="N83" s="69"/>
      <c r="O83" s="69"/>
      <c r="P83" s="69"/>
      <c r="Q83" s="69"/>
      <c r="R83" s="69"/>
      <c r="S83" s="69"/>
      <c r="T83" s="69"/>
    </row>
    <row r="84" customFormat="false" ht="15" hidden="false" customHeight="true" outlineLevel="0" collapsed="false">
      <c r="A84" s="70" t="s">
        <v>383</v>
      </c>
      <c r="B84" s="70" t="s">
        <v>384</v>
      </c>
      <c r="C84" s="71" t="s">
        <v>385</v>
      </c>
      <c r="D84" s="71"/>
      <c r="E84" s="71"/>
      <c r="F84" s="71" t="s">
        <v>386</v>
      </c>
      <c r="G84" s="71"/>
      <c r="H84" s="71"/>
      <c r="I84" s="71" t="s">
        <v>387</v>
      </c>
      <c r="J84" s="71"/>
      <c r="K84" s="71"/>
      <c r="L84" s="71" t="s">
        <v>388</v>
      </c>
      <c r="M84" s="71"/>
      <c r="N84" s="71"/>
      <c r="O84" s="71" t="s">
        <v>389</v>
      </c>
      <c r="P84" s="71"/>
      <c r="Q84" s="71"/>
      <c r="R84" s="72" t="s">
        <v>390</v>
      </c>
      <c r="S84" s="72"/>
      <c r="T84" s="72"/>
    </row>
    <row r="85" customFormat="false" ht="15" hidden="false" customHeight="false" outlineLevel="0" collapsed="false">
      <c r="A85" s="73"/>
      <c r="B85" s="73"/>
      <c r="C85" s="73" t="s">
        <v>391</v>
      </c>
      <c r="D85" s="73" t="s">
        <v>392</v>
      </c>
      <c r="E85" s="73" t="s">
        <v>393</v>
      </c>
      <c r="F85" s="73" t="s">
        <v>391</v>
      </c>
      <c r="G85" s="73" t="s">
        <v>392</v>
      </c>
      <c r="H85" s="73" t="s">
        <v>393</v>
      </c>
      <c r="I85" s="73" t="s">
        <v>391</v>
      </c>
      <c r="J85" s="73" t="s">
        <v>392</v>
      </c>
      <c r="K85" s="73" t="s">
        <v>393</v>
      </c>
      <c r="L85" s="73" t="s">
        <v>391</v>
      </c>
      <c r="M85" s="73" t="s">
        <v>392</v>
      </c>
      <c r="N85" s="73" t="s">
        <v>393</v>
      </c>
      <c r="O85" s="73" t="s">
        <v>391</v>
      </c>
      <c r="P85" s="73" t="s">
        <v>392</v>
      </c>
      <c r="Q85" s="73" t="s">
        <v>393</v>
      </c>
      <c r="R85" s="73" t="s">
        <v>391</v>
      </c>
      <c r="S85" s="73" t="s">
        <v>392</v>
      </c>
      <c r="T85" s="73" t="s">
        <v>393</v>
      </c>
    </row>
    <row r="86" customFormat="false" ht="15" hidden="false" customHeight="false" outlineLevel="0" collapsed="false">
      <c r="A86" s="74" t="n">
        <v>1</v>
      </c>
      <c r="B86" s="75" t="n">
        <v>2756638</v>
      </c>
      <c r="C86" s="76" t="n">
        <v>58447</v>
      </c>
      <c r="D86" s="76" t="n">
        <v>0</v>
      </c>
      <c r="E86" s="76" t="n">
        <v>58447</v>
      </c>
      <c r="F86" s="75" t="n">
        <f aca="false">IF(D52="","",IF(1&gt;IF(D55="",10,D55),"",D52*(1+IF(D53="",0,D53))^ROUNDDOWN((1-1)/IF(D54="",5,D54),0)))</f>
        <v>58447</v>
      </c>
      <c r="G86" s="75" t="n">
        <f aca="false">IF(F86="","",IF((IF(D62="",IF($D$35="",0,$D$35),D62))=0,0,MAX(0,2756637.84-(IF(D63&lt;&gt;"",D63,IF($D$37&lt;&gt;"",$D$37,IF((IF(D62="",IF($D$35="",0,$D$35),D62))=0,0,D52/(IF(D62="",IF($D$35="",0,$D$35),D62)))))))*(IF(D62="",IF($D$35="",0,$D$35),D62))))</f>
        <v>0</v>
      </c>
      <c r="H86" s="75" t="n">
        <f aca="false">IF(F86="","",F86+G86)</f>
        <v>58447</v>
      </c>
      <c r="I86" s="75" t="str">
        <f aca="false">IF(E52="","",IF(1&gt;IF(E55="",10,E55),"",E52*(1+IF(E53="",0,E53))^ROUNDDOWN((1-1)/IF(E54="",5,E54),0)))</f>
        <v/>
      </c>
      <c r="J86" s="75" t="str">
        <f aca="false">IF(I86="","",IF((IF(E62="",IF($D$35="",0,$D$35),E62))=0,0,MAX(0,2756637.84-(IF(E63&lt;&gt;"",E63,IF($D$37&lt;&gt;"",$D$37,IF((IF(E62="",IF($D$35="",0,$D$35),E62))=0,0,E52/(IF(E62="",IF($D$35="",0,$D$35),E62)))))))*(IF(E62="",IF($D$35="",0,$D$35),E62))))</f>
        <v/>
      </c>
      <c r="K86" s="75" t="str">
        <f aca="false">IF(I86="","",I86+J86)</f>
        <v/>
      </c>
      <c r="L86" s="75" t="str">
        <f aca="false">IF(F52="","",IF(1&gt;IF(F55="",10,F55),"",F52*(1+IF(F53="",0,F53))^ROUNDDOWN((1-1)/IF(F54="",5,F54),0)))</f>
        <v/>
      </c>
      <c r="M86" s="75" t="str">
        <f aca="false">IF(L86="","",IF((IF(F62="",IF($D$35="",0,$D$35),F62))=0,0,MAX(0,2756637.84-(IF(F63&lt;&gt;"",F63,IF($D$37&lt;&gt;"",$D$37,IF((IF(F62="",IF($D$35="",0,$D$35),F62))=0,0,F52/(IF(F62="",IF($D$35="",0,$D$35),F62)))))))*(IF(F62="",IF($D$35="",0,$D$35),F62))))</f>
        <v/>
      </c>
      <c r="N86" s="75" t="str">
        <f aca="false">IF(L86="","",L86+M86)</f>
        <v/>
      </c>
      <c r="O86" s="75" t="str">
        <f aca="false">IF(G52="","",IF(1&gt;IF(G55="",10,G55),"",G52*(1+IF(G53="",0,G53))^ROUNDDOWN((1-1)/IF(G54="",5,G54),0)))</f>
        <v/>
      </c>
      <c r="P86" s="75" t="str">
        <f aca="false">IF(O86="","",IF((IF(G62="",IF($D$35="",0,$D$35),G62))=0,0,MAX(0,2756637.84-(IF(G63&lt;&gt;"",G63,IF($D$37&lt;&gt;"",$D$37,IF((IF(G62="",IF($D$35="",0,$D$35),G62))=0,0,G52/(IF(G62="",IF($D$35="",0,$D$35),G62)))))))*(IF(G62="",IF($D$35="",0,$D$35),G62))))</f>
        <v/>
      </c>
      <c r="Q86" s="75" t="str">
        <f aca="false">IF(O86="","",O86+P86)</f>
        <v/>
      </c>
      <c r="R86" s="75" t="str">
        <f aca="false">IF(H52="","",IF(1&gt;IF(H55="",10,H55),"",H52*(1+IF(H53="",0,H53))^ROUNDDOWN((1-1)/IF(H54="",5,H54),0)))</f>
        <v/>
      </c>
      <c r="S86" s="75" t="str">
        <f aca="false">IF(R86="","",IF((IF(H62="",IF($D$35="",0,$D$35),H62))=0,0,MAX(0,2756637.84-(IF(H63&lt;&gt;"",H63,IF($D$37&lt;&gt;"",$D$37,IF((IF(H62="",IF($D$35="",0,$D$35),H62))=0,0,H52/(IF(H62="",IF($D$35="",0,$D$35),H62)))))))*(IF(H62="",IF($D$35="",0,$D$35),H62))))</f>
        <v/>
      </c>
      <c r="T86" s="75" t="str">
        <f aca="false">IF(R86="","",R86+S86)</f>
        <v/>
      </c>
    </row>
    <row r="87" customFormat="false" ht="15" hidden="false" customHeight="false" outlineLevel="0" collapsed="false">
      <c r="A87" s="74" t="n">
        <v>2</v>
      </c>
      <c r="B87" s="75" t="n">
        <v>2811771</v>
      </c>
      <c r="C87" s="76" t="n">
        <v>58447</v>
      </c>
      <c r="D87" s="76" t="n">
        <v>0</v>
      </c>
      <c r="E87" s="76" t="n">
        <v>58447</v>
      </c>
      <c r="F87" s="75" t="n">
        <f aca="false">IF(D52="","",IF(2&gt;IF(D55="",10,D55),"",D52*(1+IF(D53="",0,D53))^ROUNDDOWN((2-1)/IF(D54="",5,D54),0)))</f>
        <v>58447</v>
      </c>
      <c r="G87" s="75" t="n">
        <f aca="false">IF(F87="","",IF((IF(D62="",IF($D$35="",0,$D$35),D62))=0,0,MAX(0,2811770.6-(IF(D63&lt;&gt;"",D63,IF($D$37&lt;&gt;"",$D$37,IF((IF(D62="",IF($D$35="",0,$D$35),D62))=0,0,D52/(IF(D62="",IF($D$35="",0,$D$35),D62)))))))*(IF(D62="",IF($D$35="",0,$D$35),D62))))</f>
        <v>0</v>
      </c>
      <c r="H87" s="75" t="n">
        <f aca="false">IF(F87="","",F87+G87)</f>
        <v>58447</v>
      </c>
      <c r="I87" s="75" t="str">
        <f aca="false">IF(E52="","",IF(2&gt;IF(E55="",10,E55),"",E52*(1+IF(E53="",0,E53))^ROUNDDOWN((2-1)/IF(E54="",5,E54),0)))</f>
        <v/>
      </c>
      <c r="J87" s="75" t="str">
        <f aca="false">IF(I87="","",IF((IF(E62="",IF($D$35="",0,$D$35),E62))=0,0,MAX(0,2811770.6-(IF(E63&lt;&gt;"",E63,IF($D$37&lt;&gt;"",$D$37,IF((IF(E62="",IF($D$35="",0,$D$35),E62))=0,0,E52/(IF(E62="",IF($D$35="",0,$D$35),E62)))))))*(IF(E62="",IF($D$35="",0,$D$35),E62))))</f>
        <v/>
      </c>
      <c r="K87" s="75" t="str">
        <f aca="false">IF(I87="","",I87+J87)</f>
        <v/>
      </c>
      <c r="L87" s="75" t="str">
        <f aca="false">IF(F52="","",IF(2&gt;IF(F55="",10,F55),"",F52*(1+IF(F53="",0,F53))^ROUNDDOWN((2-1)/IF(F54="",5,F54),0)))</f>
        <v/>
      </c>
      <c r="M87" s="75" t="str">
        <f aca="false">IF(L87="","",IF((IF(F62="",IF($D$35="",0,$D$35),F62))=0,0,MAX(0,2811770.6-(IF(F63&lt;&gt;"",F63,IF($D$37&lt;&gt;"",$D$37,IF((IF(F62="",IF($D$35="",0,$D$35),F62))=0,0,F52/(IF(F62="",IF($D$35="",0,$D$35),F62)))))))*(IF(F62="",IF($D$35="",0,$D$35),F62))))</f>
        <v/>
      </c>
      <c r="N87" s="75" t="str">
        <f aca="false">IF(L87="","",L87+M87)</f>
        <v/>
      </c>
      <c r="O87" s="75" t="str">
        <f aca="false">IF(G52="","",IF(2&gt;IF(G55="",10,G55),"",G52*(1+IF(G53="",0,G53))^ROUNDDOWN((2-1)/IF(G54="",5,G54),0)))</f>
        <v/>
      </c>
      <c r="P87" s="75" t="str">
        <f aca="false">IF(O87="","",IF((IF(G62="",IF($D$35="",0,$D$35),G62))=0,0,MAX(0,2811770.6-(IF(G63&lt;&gt;"",G63,IF($D$37&lt;&gt;"",$D$37,IF((IF(G62="",IF($D$35="",0,$D$35),G62))=0,0,G52/(IF(G62="",IF($D$35="",0,$D$35),G62)))))))*(IF(G62="",IF($D$35="",0,$D$35),G62))))</f>
        <v/>
      </c>
      <c r="Q87" s="75" t="str">
        <f aca="false">IF(O87="","",O87+P87)</f>
        <v/>
      </c>
      <c r="R87" s="75" t="str">
        <f aca="false">IF(H52="","",IF(2&gt;IF(H55="",10,H55),"",H52*(1+IF(H53="",0,H53))^ROUNDDOWN((2-1)/IF(H54="",5,H54),0)))</f>
        <v/>
      </c>
      <c r="S87" s="75" t="str">
        <f aca="false">IF(R87="","",IF((IF(H62="",IF($D$35="",0,$D$35),H62))=0,0,MAX(0,2811770.6-(IF(H63&lt;&gt;"",H63,IF($D$37&lt;&gt;"",$D$37,IF((IF(H62="",IF($D$35="",0,$D$35),H62))=0,0,H52/(IF(H62="",IF($D$35="",0,$D$35),H62)))))))*(IF(H62="",IF($D$35="",0,$D$35),H62))))</f>
        <v/>
      </c>
      <c r="T87" s="75" t="str">
        <f aca="false">IF(R87="","",R87+S87)</f>
        <v/>
      </c>
    </row>
    <row r="88" customFormat="false" ht="15" hidden="false" customHeight="false" outlineLevel="0" collapsed="false">
      <c r="A88" s="74" t="n">
        <v>3</v>
      </c>
      <c r="B88" s="75" t="n">
        <v>2868006</v>
      </c>
      <c r="C88" s="76" t="n">
        <v>58447</v>
      </c>
      <c r="D88" s="76" t="n">
        <v>0</v>
      </c>
      <c r="E88" s="76" t="n">
        <v>58447</v>
      </c>
      <c r="F88" s="75" t="n">
        <f aca="false">IF(D52="","",IF(3&gt;IF(D55="",10,D55),"",D52*(1+IF(D53="",0,D53))^ROUNDDOWN((3-1)/IF(D54="",5,D54),0)))</f>
        <v>58447</v>
      </c>
      <c r="G88" s="75" t="n">
        <f aca="false">IF(F88="","",IF((IF(D62="",IF($D$35="",0,$D$35),D62))=0,0,MAX(0,2868006.01-(IF(D63&lt;&gt;"",D63,IF($D$37&lt;&gt;"",$D$37,IF((IF(D62="",IF($D$35="",0,$D$35),D62))=0,0,D52/(IF(D62="",IF($D$35="",0,$D$35),D62)))))))*(IF(D62="",IF($D$35="",0,$D$35),D62))))</f>
        <v>0</v>
      </c>
      <c r="H88" s="75" t="n">
        <f aca="false">IF(F88="","",F88+G88)</f>
        <v>58447</v>
      </c>
      <c r="I88" s="75" t="str">
        <f aca="false">IF(E52="","",IF(3&gt;IF(E55="",10,E55),"",E52*(1+IF(E53="",0,E53))^ROUNDDOWN((3-1)/IF(E54="",5,E54),0)))</f>
        <v/>
      </c>
      <c r="J88" s="75" t="str">
        <f aca="false">IF(I88="","",IF((IF(E62="",IF($D$35="",0,$D$35),E62))=0,0,MAX(0,2868006.01-(IF(E63&lt;&gt;"",E63,IF($D$37&lt;&gt;"",$D$37,IF((IF(E62="",IF($D$35="",0,$D$35),E62))=0,0,E52/(IF(E62="",IF($D$35="",0,$D$35),E62)))))))*(IF(E62="",IF($D$35="",0,$D$35),E62))))</f>
        <v/>
      </c>
      <c r="K88" s="75" t="str">
        <f aca="false">IF(I88="","",I88+J88)</f>
        <v/>
      </c>
      <c r="L88" s="75" t="str">
        <f aca="false">IF(F52="","",IF(3&gt;IF(F55="",10,F55),"",F52*(1+IF(F53="",0,F53))^ROUNDDOWN((3-1)/IF(F54="",5,F54),0)))</f>
        <v/>
      </c>
      <c r="M88" s="75" t="str">
        <f aca="false">IF(L88="","",IF((IF(F62="",IF($D$35="",0,$D$35),F62))=0,0,MAX(0,2868006.01-(IF(F63&lt;&gt;"",F63,IF($D$37&lt;&gt;"",$D$37,IF((IF(F62="",IF($D$35="",0,$D$35),F62))=0,0,F52/(IF(F62="",IF($D$35="",0,$D$35),F62)))))))*(IF(F62="",IF($D$35="",0,$D$35),F62))))</f>
        <v/>
      </c>
      <c r="N88" s="75" t="str">
        <f aca="false">IF(L88="","",L88+M88)</f>
        <v/>
      </c>
      <c r="O88" s="75" t="str">
        <f aca="false">IF(G52="","",IF(3&gt;IF(G55="",10,G55),"",G52*(1+IF(G53="",0,G53))^ROUNDDOWN((3-1)/IF(G54="",5,G54),0)))</f>
        <v/>
      </c>
      <c r="P88" s="75" t="str">
        <f aca="false">IF(O88="","",IF((IF(G62="",IF($D$35="",0,$D$35),G62))=0,0,MAX(0,2868006.01-(IF(G63&lt;&gt;"",G63,IF($D$37&lt;&gt;"",$D$37,IF((IF(G62="",IF($D$35="",0,$D$35),G62))=0,0,G52/(IF(G62="",IF($D$35="",0,$D$35),G62)))))))*(IF(G62="",IF($D$35="",0,$D$35),G62))))</f>
        <v/>
      </c>
      <c r="Q88" s="75" t="str">
        <f aca="false">IF(O88="","",O88+P88)</f>
        <v/>
      </c>
      <c r="R88" s="75" t="str">
        <f aca="false">IF(H52="","",IF(3&gt;IF(H55="",10,H55),"",H52*(1+IF(H53="",0,H53))^ROUNDDOWN((3-1)/IF(H54="",5,H54),0)))</f>
        <v/>
      </c>
      <c r="S88" s="75" t="str">
        <f aca="false">IF(R88="","",IF((IF(H62="",IF($D$35="",0,$D$35),H62))=0,0,MAX(0,2868006.01-(IF(H63&lt;&gt;"",H63,IF($D$37&lt;&gt;"",$D$37,IF((IF(H62="",IF($D$35="",0,$D$35),H62))=0,0,H52/(IF(H62="",IF($D$35="",0,$D$35),H62)))))))*(IF(H62="",IF($D$35="",0,$D$35),H62))))</f>
        <v/>
      </c>
      <c r="T88" s="75" t="str">
        <f aca="false">IF(R88="","",R88+S88)</f>
        <v/>
      </c>
    </row>
    <row r="89" customFormat="false" ht="15" hidden="false" customHeight="false" outlineLevel="0" collapsed="false">
      <c r="A89" s="74" t="n">
        <v>4</v>
      </c>
      <c r="B89" s="75" t="n">
        <v>2925366</v>
      </c>
      <c r="C89" s="76" t="n">
        <v>58447</v>
      </c>
      <c r="D89" s="76" t="n">
        <v>0</v>
      </c>
      <c r="E89" s="76" t="n">
        <v>58447</v>
      </c>
      <c r="F89" s="75" t="n">
        <f aca="false">IF(D52="","",IF(4&gt;IF(D55="",10,D55),"",D52*(1+IF(D53="",0,D53))^ROUNDDOWN((4-1)/IF(D54="",5,D54),0)))</f>
        <v>58447</v>
      </c>
      <c r="G89" s="75" t="n">
        <f aca="false">IF(F89="","",IF((IF(D62="",IF($D$35="",0,$D$35),D62))=0,0,MAX(0,2925366.13-(IF(D63&lt;&gt;"",D63,IF($D$37&lt;&gt;"",$D$37,IF((IF(D62="",IF($D$35="",0,$D$35),D62))=0,0,D52/(IF(D62="",IF($D$35="",0,$D$35),D62)))))))*(IF(D62="",IF($D$35="",0,$D$35),D62))))</f>
        <v>0</v>
      </c>
      <c r="H89" s="75" t="n">
        <f aca="false">IF(F89="","",F89+G89)</f>
        <v>58447</v>
      </c>
      <c r="I89" s="75" t="str">
        <f aca="false">IF(E52="","",IF(4&gt;IF(E55="",10,E55),"",E52*(1+IF(E53="",0,E53))^ROUNDDOWN((4-1)/IF(E54="",5,E54),0)))</f>
        <v/>
      </c>
      <c r="J89" s="75" t="str">
        <f aca="false">IF(I89="","",IF((IF(E62="",IF($D$35="",0,$D$35),E62))=0,0,MAX(0,2925366.13-(IF(E63&lt;&gt;"",E63,IF($D$37&lt;&gt;"",$D$37,IF((IF(E62="",IF($D$35="",0,$D$35),E62))=0,0,E52/(IF(E62="",IF($D$35="",0,$D$35),E62)))))))*(IF(E62="",IF($D$35="",0,$D$35),E62))))</f>
        <v/>
      </c>
      <c r="K89" s="75" t="str">
        <f aca="false">IF(I89="","",I89+J89)</f>
        <v/>
      </c>
      <c r="L89" s="75" t="str">
        <f aca="false">IF(F52="","",IF(4&gt;IF(F55="",10,F55),"",F52*(1+IF(F53="",0,F53))^ROUNDDOWN((4-1)/IF(F54="",5,F54),0)))</f>
        <v/>
      </c>
      <c r="M89" s="75" t="str">
        <f aca="false">IF(L89="","",IF((IF(F62="",IF($D$35="",0,$D$35),F62))=0,0,MAX(0,2925366.13-(IF(F63&lt;&gt;"",F63,IF($D$37&lt;&gt;"",$D$37,IF((IF(F62="",IF($D$35="",0,$D$35),F62))=0,0,F52/(IF(F62="",IF($D$35="",0,$D$35),F62)))))))*(IF(F62="",IF($D$35="",0,$D$35),F62))))</f>
        <v/>
      </c>
      <c r="N89" s="75" t="str">
        <f aca="false">IF(L89="","",L89+M89)</f>
        <v/>
      </c>
      <c r="O89" s="75" t="str">
        <f aca="false">IF(G52="","",IF(4&gt;IF(G55="",10,G55),"",G52*(1+IF(G53="",0,G53))^ROUNDDOWN((4-1)/IF(G54="",5,G54),0)))</f>
        <v/>
      </c>
      <c r="P89" s="75" t="str">
        <f aca="false">IF(O89="","",IF((IF(G62="",IF($D$35="",0,$D$35),G62))=0,0,MAX(0,2925366.13-(IF(G63&lt;&gt;"",G63,IF($D$37&lt;&gt;"",$D$37,IF((IF(G62="",IF($D$35="",0,$D$35),G62))=0,0,G52/(IF(G62="",IF($D$35="",0,$D$35),G62)))))))*(IF(G62="",IF($D$35="",0,$D$35),G62))))</f>
        <v/>
      </c>
      <c r="Q89" s="75" t="str">
        <f aca="false">IF(O89="","",O89+P89)</f>
        <v/>
      </c>
      <c r="R89" s="75" t="str">
        <f aca="false">IF(H52="","",IF(4&gt;IF(H55="",10,H55),"",H52*(1+IF(H53="",0,H53))^ROUNDDOWN((4-1)/IF(H54="",5,H54),0)))</f>
        <v/>
      </c>
      <c r="S89" s="75" t="str">
        <f aca="false">IF(R89="","",IF((IF(H62="",IF($D$35="",0,$D$35),H62))=0,0,MAX(0,2925366.13-(IF(H63&lt;&gt;"",H63,IF($D$37&lt;&gt;"",$D$37,IF((IF(H62="",IF($D$35="",0,$D$35),H62))=0,0,H52/(IF(H62="",IF($D$35="",0,$D$35),H62)))))))*(IF(H62="",IF($D$35="",0,$D$35),H62))))</f>
        <v/>
      </c>
      <c r="T89" s="75" t="str">
        <f aca="false">IF(R89="","",R89+S89)</f>
        <v/>
      </c>
    </row>
    <row r="90" customFormat="false" ht="15" hidden="false" customHeight="false" outlineLevel="0" collapsed="false">
      <c r="A90" s="74" t="n">
        <v>5</v>
      </c>
      <c r="B90" s="75" t="n">
        <v>2983873</v>
      </c>
      <c r="C90" s="76" t="n">
        <v>58447</v>
      </c>
      <c r="D90" s="76" t="n">
        <v>0</v>
      </c>
      <c r="E90" s="76" t="n">
        <v>58447</v>
      </c>
      <c r="F90" s="75" t="n">
        <f aca="false">IF(D52="","",IF(5&gt;IF(D55="",10,D55),"",D52*(1+IF(D53="",0,D53))^ROUNDDOWN((5-1)/IF(D54="",5,D54),0)))</f>
        <v>58447</v>
      </c>
      <c r="G90" s="75" t="n">
        <f aca="false">IF(F90="","",IF((IF(D62="",IF($D$35="",0,$D$35),D62))=0,0,MAX(0,2983873.45-(IF(D63&lt;&gt;"",D63,IF($D$37&lt;&gt;"",$D$37,IF((IF(D62="",IF($D$35="",0,$D$35),D62))=0,0,D52/(IF(D62="",IF($D$35="",0,$D$35),D62)))))))*(IF(D62="",IF($D$35="",0,$D$35),D62))))</f>
        <v>0</v>
      </c>
      <c r="H90" s="75" t="n">
        <f aca="false">IF(F90="","",F90+G90)</f>
        <v>58447</v>
      </c>
      <c r="I90" s="75" t="str">
        <f aca="false">IF(E52="","",IF(5&gt;IF(E55="",10,E55),"",E52*(1+IF(E53="",0,E53))^ROUNDDOWN((5-1)/IF(E54="",5,E54),0)))</f>
        <v/>
      </c>
      <c r="J90" s="75" t="str">
        <f aca="false">IF(I90="","",IF((IF(E62="",IF($D$35="",0,$D$35),E62))=0,0,MAX(0,2983873.45-(IF(E63&lt;&gt;"",E63,IF($D$37&lt;&gt;"",$D$37,IF((IF(E62="",IF($D$35="",0,$D$35),E62))=0,0,E52/(IF(E62="",IF($D$35="",0,$D$35),E62)))))))*(IF(E62="",IF($D$35="",0,$D$35),E62))))</f>
        <v/>
      </c>
      <c r="K90" s="75" t="str">
        <f aca="false">IF(I90="","",I90+J90)</f>
        <v/>
      </c>
      <c r="L90" s="75" t="str">
        <f aca="false">IF(F52="","",IF(5&gt;IF(F55="",10,F55),"",F52*(1+IF(F53="",0,F53))^ROUNDDOWN((5-1)/IF(F54="",5,F54),0)))</f>
        <v/>
      </c>
      <c r="M90" s="75" t="str">
        <f aca="false">IF(L90="","",IF((IF(F62="",IF($D$35="",0,$D$35),F62))=0,0,MAX(0,2983873.45-(IF(F63&lt;&gt;"",F63,IF($D$37&lt;&gt;"",$D$37,IF((IF(F62="",IF($D$35="",0,$D$35),F62))=0,0,F52/(IF(F62="",IF($D$35="",0,$D$35),F62)))))))*(IF(F62="",IF($D$35="",0,$D$35),F62))))</f>
        <v/>
      </c>
      <c r="N90" s="75" t="str">
        <f aca="false">IF(L90="","",L90+M90)</f>
        <v/>
      </c>
      <c r="O90" s="75" t="str">
        <f aca="false">IF(G52="","",IF(5&gt;IF(G55="",10,G55),"",G52*(1+IF(G53="",0,G53))^ROUNDDOWN((5-1)/IF(G54="",5,G54),0)))</f>
        <v/>
      </c>
      <c r="P90" s="75" t="str">
        <f aca="false">IF(O90="","",IF((IF(G62="",IF($D$35="",0,$D$35),G62))=0,0,MAX(0,2983873.45-(IF(G63&lt;&gt;"",G63,IF($D$37&lt;&gt;"",$D$37,IF((IF(G62="",IF($D$35="",0,$D$35),G62))=0,0,G52/(IF(G62="",IF($D$35="",0,$D$35),G62)))))))*(IF(G62="",IF($D$35="",0,$D$35),G62))))</f>
        <v/>
      </c>
      <c r="Q90" s="75" t="str">
        <f aca="false">IF(O90="","",O90+P90)</f>
        <v/>
      </c>
      <c r="R90" s="75" t="str">
        <f aca="false">IF(H52="","",IF(5&gt;IF(H55="",10,H55),"",H52*(1+IF(H53="",0,H53))^ROUNDDOWN((5-1)/IF(H54="",5,H54),0)))</f>
        <v/>
      </c>
      <c r="S90" s="75" t="str">
        <f aca="false">IF(R90="","",IF((IF(H62="",IF($D$35="",0,$D$35),H62))=0,0,MAX(0,2983873.45-(IF(H63&lt;&gt;"",H63,IF($D$37&lt;&gt;"",$D$37,IF((IF(H62="",IF($D$35="",0,$D$35),H62))=0,0,H52/(IF(H62="",IF($D$35="",0,$D$35),H62)))))))*(IF(H62="",IF($D$35="",0,$D$35),H62))))</f>
        <v/>
      </c>
      <c r="T90" s="75" t="str">
        <f aca="false">IF(R90="","",R90+S90)</f>
        <v/>
      </c>
    </row>
    <row r="91" customFormat="false" ht="15" hidden="false" customHeight="false" outlineLevel="0" collapsed="false">
      <c r="A91" s="74" t="n">
        <v>6</v>
      </c>
      <c r="B91" s="75" t="n">
        <v>3043551</v>
      </c>
      <c r="C91" s="76" t="n">
        <v>58447</v>
      </c>
      <c r="D91" s="76" t="n">
        <v>0</v>
      </c>
      <c r="E91" s="76" t="n">
        <v>58447</v>
      </c>
      <c r="F91" s="75" t="n">
        <f aca="false">IF(D52="","",IF(6&gt;IF(D55="",10,D55),"",D52*(1+IF(D53="",0,D53))^ROUNDDOWN((6-1)/IF(D54="",5,D54),0)))</f>
        <v>59615.94</v>
      </c>
      <c r="G91" s="75" t="n">
        <f aca="false">IF(F91="","",IF((IF(D62="",IF($D$35="",0,$D$35),D62))=0,0,MAX(0,3043550.92-(IF(D63&lt;&gt;"",D63,IF($D$37&lt;&gt;"",$D$37,IF((IF(D62="",IF($D$35="",0,$D$35),D62))=0,0,D52/(IF(D62="",IF($D$35="",0,$D$35),D62)))))))*(IF(D62="",IF($D$35="",0,$D$35),D62))))</f>
        <v>0</v>
      </c>
      <c r="H91" s="75" t="n">
        <f aca="false">IF(F91="","",F91+G91)</f>
        <v>59615.94</v>
      </c>
      <c r="I91" s="75" t="str">
        <f aca="false">IF(E52="","",IF(6&gt;IF(E55="",10,E55),"",E52*(1+IF(E53="",0,E53))^ROUNDDOWN((6-1)/IF(E54="",5,E54),0)))</f>
        <v/>
      </c>
      <c r="J91" s="75" t="str">
        <f aca="false">IF(I91="","",IF((IF(E62="",IF($D$35="",0,$D$35),E62))=0,0,MAX(0,3043550.92-(IF(E63&lt;&gt;"",E63,IF($D$37&lt;&gt;"",$D$37,IF((IF(E62="",IF($D$35="",0,$D$35),E62))=0,0,E52/(IF(E62="",IF($D$35="",0,$D$35),E62)))))))*(IF(E62="",IF($D$35="",0,$D$35),E62))))</f>
        <v/>
      </c>
      <c r="K91" s="75" t="str">
        <f aca="false">IF(I91="","",I91+J91)</f>
        <v/>
      </c>
      <c r="L91" s="75" t="str">
        <f aca="false">IF(F52="","",IF(6&gt;IF(F55="",10,F55),"",F52*(1+IF(F53="",0,F53))^ROUNDDOWN((6-1)/IF(F54="",5,F54),0)))</f>
        <v/>
      </c>
      <c r="M91" s="75" t="str">
        <f aca="false">IF(L91="","",IF((IF(F62="",IF($D$35="",0,$D$35),F62))=0,0,MAX(0,3043550.92-(IF(F63&lt;&gt;"",F63,IF($D$37&lt;&gt;"",$D$37,IF((IF(F62="",IF($D$35="",0,$D$35),F62))=0,0,F52/(IF(F62="",IF($D$35="",0,$D$35),F62)))))))*(IF(F62="",IF($D$35="",0,$D$35),F62))))</f>
        <v/>
      </c>
      <c r="N91" s="75" t="str">
        <f aca="false">IF(L91="","",L91+M91)</f>
        <v/>
      </c>
      <c r="O91" s="75" t="str">
        <f aca="false">IF(G52="","",IF(6&gt;IF(G55="",10,G55),"",G52*(1+IF(G53="",0,G53))^ROUNDDOWN((6-1)/IF(G54="",5,G54),0)))</f>
        <v/>
      </c>
      <c r="P91" s="75" t="str">
        <f aca="false">IF(O91="","",IF((IF(G62="",IF($D$35="",0,$D$35),G62))=0,0,MAX(0,3043550.92-(IF(G63&lt;&gt;"",G63,IF($D$37&lt;&gt;"",$D$37,IF((IF(G62="",IF($D$35="",0,$D$35),G62))=0,0,G52/(IF(G62="",IF($D$35="",0,$D$35),G62)))))))*(IF(G62="",IF($D$35="",0,$D$35),G62))))</f>
        <v/>
      </c>
      <c r="Q91" s="75" t="str">
        <f aca="false">IF(O91="","",O91+P91)</f>
        <v/>
      </c>
      <c r="R91" s="75" t="str">
        <f aca="false">IF(H52="","",IF(6&gt;IF(H55="",10,H55),"",H52*(1+IF(H53="",0,H53))^ROUNDDOWN((6-1)/IF(H54="",5,H54),0)))</f>
        <v/>
      </c>
      <c r="S91" s="75" t="str">
        <f aca="false">IF(R91="","",IF((IF(H62="",IF($D$35="",0,$D$35),H62))=0,0,MAX(0,3043550.92-(IF(H63&lt;&gt;"",H63,IF($D$37&lt;&gt;"",$D$37,IF((IF(H62="",IF($D$35="",0,$D$35),H62))=0,0,H52/(IF(H62="",IF($D$35="",0,$D$35),H62)))))))*(IF(H62="",IF($D$35="",0,$D$35),H62))))</f>
        <v/>
      </c>
      <c r="T91" s="75" t="str">
        <f aca="false">IF(R91="","",R91+S91)</f>
        <v/>
      </c>
    </row>
    <row r="92" customFormat="false" ht="15" hidden="false" customHeight="false" outlineLevel="0" collapsed="false">
      <c r="A92" s="74" t="n">
        <v>7</v>
      </c>
      <c r="B92" s="75" t="n">
        <v>3104422</v>
      </c>
      <c r="C92" s="76" t="n">
        <v>58447</v>
      </c>
      <c r="D92" s="76" t="n">
        <v>0</v>
      </c>
      <c r="E92" s="76" t="n">
        <v>58447</v>
      </c>
      <c r="F92" s="75" t="n">
        <f aca="false">IF(D52="","",IF(7&gt;IF(D55="",10,D55),"",D52*(1+IF(D53="",0,D53))^ROUNDDOWN((7-1)/IF(D54="",5,D54),0)))</f>
        <v>59615.94</v>
      </c>
      <c r="G92" s="75" t="n">
        <f aca="false">IF(F92="","",IF((IF(D62="",IF($D$35="",0,$D$35),D62))=0,0,MAX(0,3104421.94-(IF(D63&lt;&gt;"",D63,IF($D$37&lt;&gt;"",$D$37,IF((IF(D62="",IF($D$35="",0,$D$35),D62))=0,0,D52/(IF(D62="",IF($D$35="",0,$D$35),D62)))))))*(IF(D62="",IF($D$35="",0,$D$35),D62))))</f>
        <v>0</v>
      </c>
      <c r="H92" s="75" t="n">
        <f aca="false">IF(F92="","",F92+G92)</f>
        <v>59615.94</v>
      </c>
      <c r="I92" s="75" t="str">
        <f aca="false">IF(E52="","",IF(7&gt;IF(E55="",10,E55),"",E52*(1+IF(E53="",0,E53))^ROUNDDOWN((7-1)/IF(E54="",5,E54),0)))</f>
        <v/>
      </c>
      <c r="J92" s="75" t="str">
        <f aca="false">IF(I92="","",IF((IF(E62="",IF($D$35="",0,$D$35),E62))=0,0,MAX(0,3104421.94-(IF(E63&lt;&gt;"",E63,IF($D$37&lt;&gt;"",$D$37,IF((IF(E62="",IF($D$35="",0,$D$35),E62))=0,0,E52/(IF(E62="",IF($D$35="",0,$D$35),E62)))))))*(IF(E62="",IF($D$35="",0,$D$35),E62))))</f>
        <v/>
      </c>
      <c r="K92" s="75" t="str">
        <f aca="false">IF(I92="","",I92+J92)</f>
        <v/>
      </c>
      <c r="L92" s="75" t="str">
        <f aca="false">IF(F52="","",IF(7&gt;IF(F55="",10,F55),"",F52*(1+IF(F53="",0,F53))^ROUNDDOWN((7-1)/IF(F54="",5,F54),0)))</f>
        <v/>
      </c>
      <c r="M92" s="75" t="str">
        <f aca="false">IF(L92="","",IF((IF(F62="",IF($D$35="",0,$D$35),F62))=0,0,MAX(0,3104421.94-(IF(F63&lt;&gt;"",F63,IF($D$37&lt;&gt;"",$D$37,IF((IF(F62="",IF($D$35="",0,$D$35),F62))=0,0,F52/(IF(F62="",IF($D$35="",0,$D$35),F62)))))))*(IF(F62="",IF($D$35="",0,$D$35),F62))))</f>
        <v/>
      </c>
      <c r="N92" s="75" t="str">
        <f aca="false">IF(L92="","",L92+M92)</f>
        <v/>
      </c>
      <c r="O92" s="75" t="str">
        <f aca="false">IF(G52="","",IF(7&gt;IF(G55="",10,G55),"",G52*(1+IF(G53="",0,G53))^ROUNDDOWN((7-1)/IF(G54="",5,G54),0)))</f>
        <v/>
      </c>
      <c r="P92" s="75" t="str">
        <f aca="false">IF(O92="","",IF((IF(G62="",IF($D$35="",0,$D$35),G62))=0,0,MAX(0,3104421.94-(IF(G63&lt;&gt;"",G63,IF($D$37&lt;&gt;"",$D$37,IF((IF(G62="",IF($D$35="",0,$D$35),G62))=0,0,G52/(IF(G62="",IF($D$35="",0,$D$35),G62)))))))*(IF(G62="",IF($D$35="",0,$D$35),G62))))</f>
        <v/>
      </c>
      <c r="Q92" s="75" t="str">
        <f aca="false">IF(O92="","",O92+P92)</f>
        <v/>
      </c>
      <c r="R92" s="75" t="str">
        <f aca="false">IF(H52="","",IF(7&gt;IF(H55="",10,H55),"",H52*(1+IF(H53="",0,H53))^ROUNDDOWN((7-1)/IF(H54="",5,H54),0)))</f>
        <v/>
      </c>
      <c r="S92" s="75" t="str">
        <f aca="false">IF(R92="","",IF((IF(H62="",IF($D$35="",0,$D$35),H62))=0,0,MAX(0,3104421.94-(IF(H63&lt;&gt;"",H63,IF($D$37&lt;&gt;"",$D$37,IF((IF(H62="",IF($D$35="",0,$D$35),H62))=0,0,H52/(IF(H62="",IF($D$35="",0,$D$35),H62)))))))*(IF(H62="",IF($D$35="",0,$D$35),H62))))</f>
        <v/>
      </c>
      <c r="T92" s="75" t="str">
        <f aca="false">IF(R92="","",R92+S92)</f>
        <v/>
      </c>
    </row>
    <row r="93" customFormat="false" ht="15" hidden="false" customHeight="false" outlineLevel="0" collapsed="false">
      <c r="A93" s="74" t="n">
        <v>8</v>
      </c>
      <c r="B93" s="75" t="n">
        <v>3166510</v>
      </c>
      <c r="C93" s="76" t="n">
        <v>58447</v>
      </c>
      <c r="D93" s="76" t="n">
        <v>0</v>
      </c>
      <c r="E93" s="76" t="n">
        <v>58447</v>
      </c>
      <c r="F93" s="75" t="n">
        <f aca="false">IF(D52="","",IF(8&gt;IF(D55="",10,D55),"",D52*(1+IF(D53="",0,D53))^ROUNDDOWN((8-1)/IF(D54="",5,D54),0)))</f>
        <v>59615.94</v>
      </c>
      <c r="G93" s="75" t="n">
        <f aca="false">IF(F93="","",IF((IF(D62="",IF($D$35="",0,$D$35),D62))=0,0,MAX(0,3166510.38-(IF(D63&lt;&gt;"",D63,IF($D$37&lt;&gt;"",$D$37,IF((IF(D62="",IF($D$35="",0,$D$35),D62))=0,0,D52/(IF(D62="",IF($D$35="",0,$D$35),D62)))))))*(IF(D62="",IF($D$35="",0,$D$35),D62))))</f>
        <v>0</v>
      </c>
      <c r="H93" s="75" t="n">
        <f aca="false">IF(F93="","",F93+G93)</f>
        <v>59615.94</v>
      </c>
      <c r="I93" s="75" t="str">
        <f aca="false">IF(E52="","",IF(8&gt;IF(E55="",10,E55),"",E52*(1+IF(E53="",0,E53))^ROUNDDOWN((8-1)/IF(E54="",5,E54),0)))</f>
        <v/>
      </c>
      <c r="J93" s="75" t="str">
        <f aca="false">IF(I93="","",IF((IF(E62="",IF($D$35="",0,$D$35),E62))=0,0,MAX(0,3166510.38-(IF(E63&lt;&gt;"",E63,IF($D$37&lt;&gt;"",$D$37,IF((IF(E62="",IF($D$35="",0,$D$35),E62))=0,0,E52/(IF(E62="",IF($D$35="",0,$D$35),E62)))))))*(IF(E62="",IF($D$35="",0,$D$35),E62))))</f>
        <v/>
      </c>
      <c r="K93" s="75" t="str">
        <f aca="false">IF(I93="","",I93+J93)</f>
        <v/>
      </c>
      <c r="L93" s="75" t="str">
        <f aca="false">IF(F52="","",IF(8&gt;IF(F55="",10,F55),"",F52*(1+IF(F53="",0,F53))^ROUNDDOWN((8-1)/IF(F54="",5,F54),0)))</f>
        <v/>
      </c>
      <c r="M93" s="75" t="str">
        <f aca="false">IF(L93="","",IF((IF(F62="",IF($D$35="",0,$D$35),F62))=0,0,MAX(0,3166510.38-(IF(F63&lt;&gt;"",F63,IF($D$37&lt;&gt;"",$D$37,IF((IF(F62="",IF($D$35="",0,$D$35),F62))=0,0,F52/(IF(F62="",IF($D$35="",0,$D$35),F62)))))))*(IF(F62="",IF($D$35="",0,$D$35),F62))))</f>
        <v/>
      </c>
      <c r="N93" s="75" t="str">
        <f aca="false">IF(L93="","",L93+M93)</f>
        <v/>
      </c>
      <c r="O93" s="75" t="str">
        <f aca="false">IF(G52="","",IF(8&gt;IF(G55="",10,G55),"",G52*(1+IF(G53="",0,G53))^ROUNDDOWN((8-1)/IF(G54="",5,G54),0)))</f>
        <v/>
      </c>
      <c r="P93" s="75" t="str">
        <f aca="false">IF(O93="","",IF((IF(G62="",IF($D$35="",0,$D$35),G62))=0,0,MAX(0,3166510.38-(IF(G63&lt;&gt;"",G63,IF($D$37&lt;&gt;"",$D$37,IF((IF(G62="",IF($D$35="",0,$D$35),G62))=0,0,G52/(IF(G62="",IF($D$35="",0,$D$35),G62)))))))*(IF(G62="",IF($D$35="",0,$D$35),G62))))</f>
        <v/>
      </c>
      <c r="Q93" s="75" t="str">
        <f aca="false">IF(O93="","",O93+P93)</f>
        <v/>
      </c>
      <c r="R93" s="75" t="str">
        <f aca="false">IF(H52="","",IF(8&gt;IF(H55="",10,H55),"",H52*(1+IF(H53="",0,H53))^ROUNDDOWN((8-1)/IF(H54="",5,H54),0)))</f>
        <v/>
      </c>
      <c r="S93" s="75" t="str">
        <f aca="false">IF(R93="","",IF((IF(H62="",IF($D$35="",0,$D$35),H62))=0,0,MAX(0,3166510.38-(IF(H63&lt;&gt;"",H63,IF($D$37&lt;&gt;"",$D$37,IF((IF(H62="",IF($D$35="",0,$D$35),H62))=0,0,H52/(IF(H62="",IF($D$35="",0,$D$35),H62)))))))*(IF(H62="",IF($D$35="",0,$D$35),H62))))</f>
        <v/>
      </c>
      <c r="T93" s="75" t="str">
        <f aca="false">IF(R93="","",R93+S93)</f>
        <v/>
      </c>
    </row>
    <row r="94" customFormat="false" ht="15" hidden="false" customHeight="false" outlineLevel="0" collapsed="false">
      <c r="A94" s="74" t="n">
        <v>9</v>
      </c>
      <c r="B94" s="75" t="n">
        <v>3229841</v>
      </c>
      <c r="C94" s="76" t="n">
        <v>58447</v>
      </c>
      <c r="D94" s="76" t="n">
        <v>0</v>
      </c>
      <c r="E94" s="76" t="n">
        <v>58447</v>
      </c>
      <c r="F94" s="75" t="n">
        <f aca="false">IF(D52="","",IF(9&gt;IF(D55="",10,D55),"",D52*(1+IF(D53="",0,D53))^ROUNDDOWN((9-1)/IF(D54="",5,D54),0)))</f>
        <v>59615.94</v>
      </c>
      <c r="G94" s="75" t="n">
        <f aca="false">IF(F94="","",IF((IF(D62="",IF($D$35="",0,$D$35),D62))=0,0,MAX(0,3229840.59-(IF(D63&lt;&gt;"",D63,IF($D$37&lt;&gt;"",$D$37,IF((IF(D62="",IF($D$35="",0,$D$35),D62))=0,0,D52/(IF(D62="",IF($D$35="",0,$D$35),D62)))))))*(IF(D62="",IF($D$35="",0,$D$35),D62))))</f>
        <v>0</v>
      </c>
      <c r="H94" s="75" t="n">
        <f aca="false">IF(F94="","",F94+G94)</f>
        <v>59615.94</v>
      </c>
      <c r="I94" s="75" t="str">
        <f aca="false">IF(E52="","",IF(9&gt;IF(E55="",10,E55),"",E52*(1+IF(E53="",0,E53))^ROUNDDOWN((9-1)/IF(E54="",5,E54),0)))</f>
        <v/>
      </c>
      <c r="J94" s="75" t="str">
        <f aca="false">IF(I94="","",IF((IF(E62="",IF($D$35="",0,$D$35),E62))=0,0,MAX(0,3229840.59-(IF(E63&lt;&gt;"",E63,IF($D$37&lt;&gt;"",$D$37,IF((IF(E62="",IF($D$35="",0,$D$35),E62))=0,0,E52/(IF(E62="",IF($D$35="",0,$D$35),E62)))))))*(IF(E62="",IF($D$35="",0,$D$35),E62))))</f>
        <v/>
      </c>
      <c r="K94" s="75" t="str">
        <f aca="false">IF(I94="","",I94+J94)</f>
        <v/>
      </c>
      <c r="L94" s="75" t="str">
        <f aca="false">IF(F52="","",IF(9&gt;IF(F55="",10,F55),"",F52*(1+IF(F53="",0,F53))^ROUNDDOWN((9-1)/IF(F54="",5,F54),0)))</f>
        <v/>
      </c>
      <c r="M94" s="75" t="str">
        <f aca="false">IF(L94="","",IF((IF(F62="",IF($D$35="",0,$D$35),F62))=0,0,MAX(0,3229840.59-(IF(F63&lt;&gt;"",F63,IF($D$37&lt;&gt;"",$D$37,IF((IF(F62="",IF($D$35="",0,$D$35),F62))=0,0,F52/(IF(F62="",IF($D$35="",0,$D$35),F62)))))))*(IF(F62="",IF($D$35="",0,$D$35),F62))))</f>
        <v/>
      </c>
      <c r="N94" s="75" t="str">
        <f aca="false">IF(L94="","",L94+M94)</f>
        <v/>
      </c>
      <c r="O94" s="75" t="str">
        <f aca="false">IF(G52="","",IF(9&gt;IF(G55="",10,G55),"",G52*(1+IF(G53="",0,G53))^ROUNDDOWN((9-1)/IF(G54="",5,G54),0)))</f>
        <v/>
      </c>
      <c r="P94" s="75" t="str">
        <f aca="false">IF(O94="","",IF((IF(G62="",IF($D$35="",0,$D$35),G62))=0,0,MAX(0,3229840.59-(IF(G63&lt;&gt;"",G63,IF($D$37&lt;&gt;"",$D$37,IF((IF(G62="",IF($D$35="",0,$D$35),G62))=0,0,G52/(IF(G62="",IF($D$35="",0,$D$35),G62)))))))*(IF(G62="",IF($D$35="",0,$D$35),G62))))</f>
        <v/>
      </c>
      <c r="Q94" s="75" t="str">
        <f aca="false">IF(O94="","",O94+P94)</f>
        <v/>
      </c>
      <c r="R94" s="75" t="str">
        <f aca="false">IF(H52="","",IF(9&gt;IF(H55="",10,H55),"",H52*(1+IF(H53="",0,H53))^ROUNDDOWN((9-1)/IF(H54="",5,H54),0)))</f>
        <v/>
      </c>
      <c r="S94" s="75" t="str">
        <f aca="false">IF(R94="","",IF((IF(H62="",IF($D$35="",0,$D$35),H62))=0,0,MAX(0,3229840.59-(IF(H63&lt;&gt;"",H63,IF($D$37&lt;&gt;"",$D$37,IF((IF(H62="",IF($D$35="",0,$D$35),H62))=0,0,H52/(IF(H62="",IF($D$35="",0,$D$35),H62)))))))*(IF(H62="",IF($D$35="",0,$D$35),H62))))</f>
        <v/>
      </c>
      <c r="T94" s="75" t="str">
        <f aca="false">IF(R94="","",R94+S94)</f>
        <v/>
      </c>
    </row>
    <row r="95" customFormat="false" ht="15" hidden="false" customHeight="false" outlineLevel="0" collapsed="false">
      <c r="A95" s="74" t="n">
        <v>10</v>
      </c>
      <c r="B95" s="75" t="n">
        <v>3294437</v>
      </c>
      <c r="C95" s="76" t="n">
        <v>58447</v>
      </c>
      <c r="D95" s="76" t="n">
        <v>0</v>
      </c>
      <c r="E95" s="76" t="n">
        <v>58447</v>
      </c>
      <c r="F95" s="75" t="n">
        <f aca="false">IF(D52="","",IF(10&gt;IF(D55="",10,D55),"",D52*(1+IF(D53="",0,D53))^ROUNDDOWN((10-1)/IF(D54="",5,D54),0)))</f>
        <v>59615.94</v>
      </c>
      <c r="G95" s="75" t="n">
        <f aca="false">IF(F95="","",IF((IF(D62="",IF($D$35="",0,$D$35),D62))=0,0,MAX(0,3294437.4-(IF(D63&lt;&gt;"",D63,IF($D$37&lt;&gt;"",$D$37,IF((IF(D62="",IF($D$35="",0,$D$35),D62))=0,0,D52/(IF(D62="",IF($D$35="",0,$D$35),D62)))))))*(IF(D62="",IF($D$35="",0,$D$35),D62))))</f>
        <v>0</v>
      </c>
      <c r="H95" s="75" t="n">
        <f aca="false">IF(F95="","",F95+G95)</f>
        <v>59615.94</v>
      </c>
      <c r="I95" s="75" t="str">
        <f aca="false">IF(E52="","",IF(10&gt;IF(E55="",10,E55),"",E52*(1+IF(E53="",0,E53))^ROUNDDOWN((10-1)/IF(E54="",5,E54),0)))</f>
        <v/>
      </c>
      <c r="J95" s="75" t="str">
        <f aca="false">IF(I95="","",IF((IF(E62="",IF($D$35="",0,$D$35),E62))=0,0,MAX(0,3294437.4-(IF(E63&lt;&gt;"",E63,IF($D$37&lt;&gt;"",$D$37,IF((IF(E62="",IF($D$35="",0,$D$35),E62))=0,0,E52/(IF(E62="",IF($D$35="",0,$D$35),E62)))))))*(IF(E62="",IF($D$35="",0,$D$35),E62))))</f>
        <v/>
      </c>
      <c r="K95" s="75" t="str">
        <f aca="false">IF(I95="","",I95+J95)</f>
        <v/>
      </c>
      <c r="L95" s="75" t="str">
        <f aca="false">IF(F52="","",IF(10&gt;IF(F55="",10,F55),"",F52*(1+IF(F53="",0,F53))^ROUNDDOWN((10-1)/IF(F54="",5,F54),0)))</f>
        <v/>
      </c>
      <c r="M95" s="75" t="str">
        <f aca="false">IF(L95="","",IF((IF(F62="",IF($D$35="",0,$D$35),F62))=0,0,MAX(0,3294437.4-(IF(F63&lt;&gt;"",F63,IF($D$37&lt;&gt;"",$D$37,IF((IF(F62="",IF($D$35="",0,$D$35),F62))=0,0,F52/(IF(F62="",IF($D$35="",0,$D$35),F62)))))))*(IF(F62="",IF($D$35="",0,$D$35),F62))))</f>
        <v/>
      </c>
      <c r="N95" s="75" t="str">
        <f aca="false">IF(L95="","",L95+M95)</f>
        <v/>
      </c>
      <c r="O95" s="75" t="str">
        <f aca="false">IF(G52="","",IF(10&gt;IF(G55="",10,G55),"",G52*(1+IF(G53="",0,G53))^ROUNDDOWN((10-1)/IF(G54="",5,G54),0)))</f>
        <v/>
      </c>
      <c r="P95" s="75" t="str">
        <f aca="false">IF(O95="","",IF((IF(G62="",IF($D$35="",0,$D$35),G62))=0,0,MAX(0,3294437.4-(IF(G63&lt;&gt;"",G63,IF($D$37&lt;&gt;"",$D$37,IF((IF(G62="",IF($D$35="",0,$D$35),G62))=0,0,G52/(IF(G62="",IF($D$35="",0,$D$35),G62)))))))*(IF(G62="",IF($D$35="",0,$D$35),G62))))</f>
        <v/>
      </c>
      <c r="Q95" s="75" t="str">
        <f aca="false">IF(O95="","",O95+P95)</f>
        <v/>
      </c>
      <c r="R95" s="75" t="str">
        <f aca="false">IF(H52="","",IF(10&gt;IF(H55="",10,H55),"",H52*(1+IF(H53="",0,H53))^ROUNDDOWN((10-1)/IF(H54="",5,H54),0)))</f>
        <v/>
      </c>
      <c r="S95" s="75" t="str">
        <f aca="false">IF(R95="","",IF((IF(H62="",IF($D$35="",0,$D$35),H62))=0,0,MAX(0,3294437.4-(IF(H63&lt;&gt;"",H63,IF($D$37&lt;&gt;"",$D$37,IF((IF(H62="",IF($D$35="",0,$D$35),H62))=0,0,H52/(IF(H62="",IF($D$35="",0,$D$35),H62)))))))*(IF(H62="",IF($D$35="",0,$D$35),H62))))</f>
        <v/>
      </c>
      <c r="T95" s="75" t="str">
        <f aca="false">IF(R95="","",R95+S95)</f>
        <v/>
      </c>
    </row>
    <row r="96" customFormat="false" ht="15" hidden="false" customHeight="false" outlineLevel="0" collapsed="false">
      <c r="A96" s="74" t="n">
        <v>11</v>
      </c>
      <c r="B96" s="75" t="n">
        <v>3360326</v>
      </c>
      <c r="C96" s="76" t="n">
        <v>58447</v>
      </c>
      <c r="D96" s="76" t="n">
        <v>0</v>
      </c>
      <c r="E96" s="76" t="n">
        <v>58447</v>
      </c>
      <c r="F96" s="75" t="n">
        <f aca="false">IF(D52="","",IF(11&gt;IF(D55="",10,D55),"",D52*(1+IF(D53="",0,D53))^ROUNDDOWN((11-1)/IF(D54="",5,D54),0)))</f>
        <v>60808.2588</v>
      </c>
      <c r="G96" s="75" t="n">
        <f aca="false">IF(F96="","",IF((IF(D62="",IF($D$35="",0,$D$35),D62))=0,0,MAX(0,3360326.14-(IF(D63&lt;&gt;"",D63,IF($D$37&lt;&gt;"",$D$37,IF((IF(D62="",IF($D$35="",0,$D$35),D62))=0,0,D52/(IF(D62="",IF($D$35="",0,$D$35),D62)))))))*(IF(D62="",IF($D$35="",0,$D$35),D62))))</f>
        <v>0</v>
      </c>
      <c r="H96" s="75" t="n">
        <f aca="false">IF(F96="","",F96+G96)</f>
        <v>60808.2588</v>
      </c>
      <c r="I96" s="75" t="str">
        <f aca="false">IF(E52="","",IF(11&gt;IF(E55="",10,E55),"",E52*(1+IF(E53="",0,E53))^ROUNDDOWN((11-1)/IF(E54="",5,E54),0)))</f>
        <v/>
      </c>
      <c r="J96" s="75" t="str">
        <f aca="false">IF(I96="","",IF((IF(E62="",IF($D$35="",0,$D$35),E62))=0,0,MAX(0,3360326.14-(IF(E63&lt;&gt;"",E63,IF($D$37&lt;&gt;"",$D$37,IF((IF(E62="",IF($D$35="",0,$D$35),E62))=0,0,E52/(IF(E62="",IF($D$35="",0,$D$35),E62)))))))*(IF(E62="",IF($D$35="",0,$D$35),E62))))</f>
        <v/>
      </c>
      <c r="K96" s="75" t="str">
        <f aca="false">IF(I96="","",I96+J96)</f>
        <v/>
      </c>
      <c r="L96" s="75" t="str">
        <f aca="false">IF(F52="","",IF(11&gt;IF(F55="",10,F55),"",F52*(1+IF(F53="",0,F53))^ROUNDDOWN((11-1)/IF(F54="",5,F54),0)))</f>
        <v/>
      </c>
      <c r="M96" s="75" t="str">
        <f aca="false">IF(L96="","",IF((IF(F62="",IF($D$35="",0,$D$35),F62))=0,0,MAX(0,3360326.14-(IF(F63&lt;&gt;"",F63,IF($D$37&lt;&gt;"",$D$37,IF((IF(F62="",IF($D$35="",0,$D$35),F62))=0,0,F52/(IF(F62="",IF($D$35="",0,$D$35),F62)))))))*(IF(F62="",IF($D$35="",0,$D$35),F62))))</f>
        <v/>
      </c>
      <c r="N96" s="75" t="str">
        <f aca="false">IF(L96="","",L96+M96)</f>
        <v/>
      </c>
      <c r="O96" s="75" t="str">
        <f aca="false">IF(G52="","",IF(11&gt;IF(G55="",10,G55),"",G52*(1+IF(G53="",0,G53))^ROUNDDOWN((11-1)/IF(G54="",5,G54),0)))</f>
        <v/>
      </c>
      <c r="P96" s="75" t="str">
        <f aca="false">IF(O96="","",IF((IF(G62="",IF($D$35="",0,$D$35),G62))=0,0,MAX(0,3360326.14-(IF(G63&lt;&gt;"",G63,IF($D$37&lt;&gt;"",$D$37,IF((IF(G62="",IF($D$35="",0,$D$35),G62))=0,0,G52/(IF(G62="",IF($D$35="",0,$D$35),G62)))))))*(IF(G62="",IF($D$35="",0,$D$35),G62))))</f>
        <v/>
      </c>
      <c r="Q96" s="75" t="str">
        <f aca="false">IF(O96="","",O96+P96)</f>
        <v/>
      </c>
      <c r="R96" s="75" t="str">
        <f aca="false">IF(H52="","",IF(11&gt;IF(H55="",10,H55),"",H52*(1+IF(H53="",0,H53))^ROUNDDOWN((11-1)/IF(H54="",5,H54),0)))</f>
        <v/>
      </c>
      <c r="S96" s="75" t="str">
        <f aca="false">IF(R96="","",IF((IF(H62="",IF($D$35="",0,$D$35),H62))=0,0,MAX(0,3360326.14-(IF(H63&lt;&gt;"",H63,IF($D$37&lt;&gt;"",$D$37,IF((IF(H62="",IF($D$35="",0,$D$35),H62))=0,0,H52/(IF(H62="",IF($D$35="",0,$D$35),H62)))))))*(IF(H62="",IF($D$35="",0,$D$35),H62))))</f>
        <v/>
      </c>
      <c r="T96" s="75" t="str">
        <f aca="false">IF(R96="","",R96+S96)</f>
        <v/>
      </c>
    </row>
    <row r="97" customFormat="false" ht="15" hidden="false" customHeight="false" outlineLevel="0" collapsed="false">
      <c r="A97" s="74" t="n">
        <v>12</v>
      </c>
      <c r="B97" s="75" t="n">
        <v>3427533</v>
      </c>
      <c r="C97" s="76" t="n">
        <v>58447</v>
      </c>
      <c r="D97" s="76" t="n">
        <v>0</v>
      </c>
      <c r="E97" s="76" t="n">
        <v>58447</v>
      </c>
      <c r="F97" s="75" t="n">
        <f aca="false">IF(D52="","",IF(12&gt;IF(D55="",10,D55),"",D52*(1+IF(D53="",0,D53))^ROUNDDOWN((12-1)/IF(D54="",5,D54),0)))</f>
        <v>60808.2588</v>
      </c>
      <c r="G97" s="75" t="n">
        <f aca="false">IF(F97="","",IF((IF(D62="",IF($D$35="",0,$D$35),D62))=0,0,MAX(0,3427532.67-(IF(D63&lt;&gt;"",D63,IF($D$37&lt;&gt;"",$D$37,IF((IF(D62="",IF($D$35="",0,$D$35),D62))=0,0,D52/(IF(D62="",IF($D$35="",0,$D$35),D62)))))))*(IF(D62="",IF($D$35="",0,$D$35),D62))))</f>
        <v>0</v>
      </c>
      <c r="H97" s="75" t="n">
        <f aca="false">IF(F97="","",F97+G97)</f>
        <v>60808.2588</v>
      </c>
      <c r="I97" s="75" t="str">
        <f aca="false">IF(E52="","",IF(12&gt;IF(E55="",10,E55),"",E52*(1+IF(E53="",0,E53))^ROUNDDOWN((12-1)/IF(E54="",5,E54),0)))</f>
        <v/>
      </c>
      <c r="J97" s="75" t="str">
        <f aca="false">IF(I97="","",IF((IF(E62="",IF($D$35="",0,$D$35),E62))=0,0,MAX(0,3427532.67-(IF(E63&lt;&gt;"",E63,IF($D$37&lt;&gt;"",$D$37,IF((IF(E62="",IF($D$35="",0,$D$35),E62))=0,0,E52/(IF(E62="",IF($D$35="",0,$D$35),E62)))))))*(IF(E62="",IF($D$35="",0,$D$35),E62))))</f>
        <v/>
      </c>
      <c r="K97" s="75" t="str">
        <f aca="false">IF(I97="","",I97+J97)</f>
        <v/>
      </c>
      <c r="L97" s="75" t="str">
        <f aca="false">IF(F52="","",IF(12&gt;IF(F55="",10,F55),"",F52*(1+IF(F53="",0,F53))^ROUNDDOWN((12-1)/IF(F54="",5,F54),0)))</f>
        <v/>
      </c>
      <c r="M97" s="75" t="str">
        <f aca="false">IF(L97="","",IF((IF(F62="",IF($D$35="",0,$D$35),F62))=0,0,MAX(0,3427532.67-(IF(F63&lt;&gt;"",F63,IF($D$37&lt;&gt;"",$D$37,IF((IF(F62="",IF($D$35="",0,$D$35),F62))=0,0,F52/(IF(F62="",IF($D$35="",0,$D$35),F62)))))))*(IF(F62="",IF($D$35="",0,$D$35),F62))))</f>
        <v/>
      </c>
      <c r="N97" s="75" t="str">
        <f aca="false">IF(L97="","",L97+M97)</f>
        <v/>
      </c>
      <c r="O97" s="75" t="str">
        <f aca="false">IF(G52="","",IF(12&gt;IF(G55="",10,G55),"",G52*(1+IF(G53="",0,G53))^ROUNDDOWN((12-1)/IF(G54="",5,G54),0)))</f>
        <v/>
      </c>
      <c r="P97" s="75" t="str">
        <f aca="false">IF(O97="","",IF((IF(G62="",IF($D$35="",0,$D$35),G62))=0,0,MAX(0,3427532.67-(IF(G63&lt;&gt;"",G63,IF($D$37&lt;&gt;"",$D$37,IF((IF(G62="",IF($D$35="",0,$D$35),G62))=0,0,G52/(IF(G62="",IF($D$35="",0,$D$35),G62)))))))*(IF(G62="",IF($D$35="",0,$D$35),G62))))</f>
        <v/>
      </c>
      <c r="Q97" s="75" t="str">
        <f aca="false">IF(O97="","",O97+P97)</f>
        <v/>
      </c>
      <c r="R97" s="75" t="str">
        <f aca="false">IF(H52="","",IF(12&gt;IF(H55="",10,H55),"",H52*(1+IF(H53="",0,H53))^ROUNDDOWN((12-1)/IF(H54="",5,H54),0)))</f>
        <v/>
      </c>
      <c r="S97" s="75" t="str">
        <f aca="false">IF(R97="","",IF((IF(H62="",IF($D$35="",0,$D$35),H62))=0,0,MAX(0,3427532.67-(IF(H63&lt;&gt;"",H63,IF($D$37&lt;&gt;"",$D$37,IF((IF(H62="",IF($D$35="",0,$D$35),H62))=0,0,H52/(IF(H62="",IF($D$35="",0,$D$35),H62)))))))*(IF(H62="",IF($D$35="",0,$D$35),H62))))</f>
        <v/>
      </c>
      <c r="T97" s="75" t="str">
        <f aca="false">IF(R97="","",R97+S97)</f>
        <v/>
      </c>
    </row>
    <row r="98" customFormat="false" ht="15" hidden="false" customHeight="false" outlineLevel="0" collapsed="false">
      <c r="A98" s="74" t="n">
        <v>13</v>
      </c>
      <c r="B98" s="75" t="n">
        <v>3496083</v>
      </c>
      <c r="C98" s="76" t="n">
        <v>58447</v>
      </c>
      <c r="D98" s="76" t="n">
        <v>0</v>
      </c>
      <c r="E98" s="76" t="n">
        <v>58447</v>
      </c>
      <c r="F98" s="75" t="n">
        <f aca="false">IF(D52="","",IF(13&gt;IF(D55="",10,D55),"",D52*(1+IF(D53="",0,D53))^ROUNDDOWN((13-1)/IF(D54="",5,D54),0)))</f>
        <v>60808.2588</v>
      </c>
      <c r="G98" s="75" t="n">
        <f aca="false">IF(F98="","",IF((IF(D62="",IF($D$35="",0,$D$35),D62))=0,0,MAX(0,3496083.32-(IF(D63&lt;&gt;"",D63,IF($D$37&lt;&gt;"",$D$37,IF((IF(D62="",IF($D$35="",0,$D$35),D62))=0,0,D52/(IF(D62="",IF($D$35="",0,$D$35),D62)))))))*(IF(D62="",IF($D$35="",0,$D$35),D62))))</f>
        <v>0</v>
      </c>
      <c r="H98" s="75" t="n">
        <f aca="false">IF(F98="","",F98+G98)</f>
        <v>60808.2588</v>
      </c>
      <c r="I98" s="75" t="str">
        <f aca="false">IF(E52="","",IF(13&gt;IF(E55="",10,E55),"",E52*(1+IF(E53="",0,E53))^ROUNDDOWN((13-1)/IF(E54="",5,E54),0)))</f>
        <v/>
      </c>
      <c r="J98" s="75" t="str">
        <f aca="false">IF(I98="","",IF((IF(E62="",IF($D$35="",0,$D$35),E62))=0,0,MAX(0,3496083.32-(IF(E63&lt;&gt;"",E63,IF($D$37&lt;&gt;"",$D$37,IF((IF(E62="",IF($D$35="",0,$D$35),E62))=0,0,E52/(IF(E62="",IF($D$35="",0,$D$35),E62)))))))*(IF(E62="",IF($D$35="",0,$D$35),E62))))</f>
        <v/>
      </c>
      <c r="K98" s="75" t="str">
        <f aca="false">IF(I98="","",I98+J98)</f>
        <v/>
      </c>
      <c r="L98" s="75" t="str">
        <f aca="false">IF(F52="","",IF(13&gt;IF(F55="",10,F55),"",F52*(1+IF(F53="",0,F53))^ROUNDDOWN((13-1)/IF(F54="",5,F54),0)))</f>
        <v/>
      </c>
      <c r="M98" s="75" t="str">
        <f aca="false">IF(L98="","",IF((IF(F62="",IF($D$35="",0,$D$35),F62))=0,0,MAX(0,3496083.32-(IF(F63&lt;&gt;"",F63,IF($D$37&lt;&gt;"",$D$37,IF((IF(F62="",IF($D$35="",0,$D$35),F62))=0,0,F52/(IF(F62="",IF($D$35="",0,$D$35),F62)))))))*(IF(F62="",IF($D$35="",0,$D$35),F62))))</f>
        <v/>
      </c>
      <c r="N98" s="75" t="str">
        <f aca="false">IF(L98="","",L98+M98)</f>
        <v/>
      </c>
      <c r="O98" s="75" t="str">
        <f aca="false">IF(G52="","",IF(13&gt;IF(G55="",10,G55),"",G52*(1+IF(G53="",0,G53))^ROUNDDOWN((13-1)/IF(G54="",5,G54),0)))</f>
        <v/>
      </c>
      <c r="P98" s="75" t="str">
        <f aca="false">IF(O98="","",IF((IF(G62="",IF($D$35="",0,$D$35),G62))=0,0,MAX(0,3496083.32-(IF(G63&lt;&gt;"",G63,IF($D$37&lt;&gt;"",$D$37,IF((IF(G62="",IF($D$35="",0,$D$35),G62))=0,0,G52/(IF(G62="",IF($D$35="",0,$D$35),G62)))))))*(IF(G62="",IF($D$35="",0,$D$35),G62))))</f>
        <v/>
      </c>
      <c r="Q98" s="75" t="str">
        <f aca="false">IF(O98="","",O98+P98)</f>
        <v/>
      </c>
      <c r="R98" s="75" t="str">
        <f aca="false">IF(H52="","",IF(13&gt;IF(H55="",10,H55),"",H52*(1+IF(H53="",0,H53))^ROUNDDOWN((13-1)/IF(H54="",5,H54),0)))</f>
        <v/>
      </c>
      <c r="S98" s="75" t="str">
        <f aca="false">IF(R98="","",IF((IF(H62="",IF($D$35="",0,$D$35),H62))=0,0,MAX(0,3496083.32-(IF(H63&lt;&gt;"",H63,IF($D$37&lt;&gt;"",$D$37,IF((IF(H62="",IF($D$35="",0,$D$35),H62))=0,0,H52/(IF(H62="",IF($D$35="",0,$D$35),H62)))))))*(IF(H62="",IF($D$35="",0,$D$35),H62))))</f>
        <v/>
      </c>
      <c r="T98" s="75" t="str">
        <f aca="false">IF(R98="","",R98+S98)</f>
        <v/>
      </c>
    </row>
    <row r="99" customFormat="false" ht="15" hidden="false" customHeight="false" outlineLevel="0" collapsed="false">
      <c r="A99" s="74" t="n">
        <v>14</v>
      </c>
      <c r="B99" s="75" t="n">
        <v>3566005</v>
      </c>
      <c r="C99" s="76" t="n">
        <v>58447</v>
      </c>
      <c r="D99" s="76" t="n">
        <v>0</v>
      </c>
      <c r="E99" s="76" t="n">
        <v>58447</v>
      </c>
      <c r="F99" s="75" t="n">
        <f aca="false">IF(D52="","",IF(14&gt;IF(D55="",10,D55),"",D52*(1+IF(D53="",0,D53))^ROUNDDOWN((14-1)/IF(D54="",5,D54),0)))</f>
        <v>60808.2588</v>
      </c>
      <c r="G99" s="75" t="n">
        <f aca="false">IF(F99="","",IF((IF(D62="",IF($D$35="",0,$D$35),D62))=0,0,MAX(0,3566004.99-(IF(D63&lt;&gt;"",D63,IF($D$37&lt;&gt;"",$D$37,IF((IF(D62="",IF($D$35="",0,$D$35),D62))=0,0,D52/(IF(D62="",IF($D$35="",0,$D$35),D62)))))))*(IF(D62="",IF($D$35="",0,$D$35),D62))))</f>
        <v>0</v>
      </c>
      <c r="H99" s="75" t="n">
        <f aca="false">IF(F99="","",F99+G99)</f>
        <v>60808.2588</v>
      </c>
      <c r="I99" s="75" t="str">
        <f aca="false">IF(E52="","",IF(14&gt;IF(E55="",10,E55),"",E52*(1+IF(E53="",0,E53))^ROUNDDOWN((14-1)/IF(E54="",5,E54),0)))</f>
        <v/>
      </c>
      <c r="J99" s="75" t="str">
        <f aca="false">IF(I99="","",IF((IF(E62="",IF($D$35="",0,$D$35),E62))=0,0,MAX(0,3566004.99-(IF(E63&lt;&gt;"",E63,IF($D$37&lt;&gt;"",$D$37,IF((IF(E62="",IF($D$35="",0,$D$35),E62))=0,0,E52/(IF(E62="",IF($D$35="",0,$D$35),E62)))))))*(IF(E62="",IF($D$35="",0,$D$35),E62))))</f>
        <v/>
      </c>
      <c r="K99" s="75" t="str">
        <f aca="false">IF(I99="","",I99+J99)</f>
        <v/>
      </c>
      <c r="L99" s="75" t="str">
        <f aca="false">IF(F52="","",IF(14&gt;IF(F55="",10,F55),"",F52*(1+IF(F53="",0,F53))^ROUNDDOWN((14-1)/IF(F54="",5,F54),0)))</f>
        <v/>
      </c>
      <c r="M99" s="75" t="str">
        <f aca="false">IF(L99="","",IF((IF(F62="",IF($D$35="",0,$D$35),F62))=0,0,MAX(0,3566004.99-(IF(F63&lt;&gt;"",F63,IF($D$37&lt;&gt;"",$D$37,IF((IF(F62="",IF($D$35="",0,$D$35),F62))=0,0,F52/(IF(F62="",IF($D$35="",0,$D$35),F62)))))))*(IF(F62="",IF($D$35="",0,$D$35),F62))))</f>
        <v/>
      </c>
      <c r="N99" s="75" t="str">
        <f aca="false">IF(L99="","",L99+M99)</f>
        <v/>
      </c>
      <c r="O99" s="75" t="str">
        <f aca="false">IF(G52="","",IF(14&gt;IF(G55="",10,G55),"",G52*(1+IF(G53="",0,G53))^ROUNDDOWN((14-1)/IF(G54="",5,G54),0)))</f>
        <v/>
      </c>
      <c r="P99" s="75" t="str">
        <f aca="false">IF(O99="","",IF((IF(G62="",IF($D$35="",0,$D$35),G62))=0,0,MAX(0,3566004.99-(IF(G63&lt;&gt;"",G63,IF($D$37&lt;&gt;"",$D$37,IF((IF(G62="",IF($D$35="",0,$D$35),G62))=0,0,G52/(IF(G62="",IF($D$35="",0,$D$35),G62)))))))*(IF(G62="",IF($D$35="",0,$D$35),G62))))</f>
        <v/>
      </c>
      <c r="Q99" s="75" t="str">
        <f aca="false">IF(O99="","",O99+P99)</f>
        <v/>
      </c>
      <c r="R99" s="75" t="str">
        <f aca="false">IF(H52="","",IF(14&gt;IF(H55="",10,H55),"",H52*(1+IF(H53="",0,H53))^ROUNDDOWN((14-1)/IF(H54="",5,H54),0)))</f>
        <v/>
      </c>
      <c r="S99" s="75" t="str">
        <f aca="false">IF(R99="","",IF((IF(H62="",IF($D$35="",0,$D$35),H62))=0,0,MAX(0,3566004.99-(IF(H63&lt;&gt;"",H63,IF($D$37&lt;&gt;"",$D$37,IF((IF(H62="",IF($D$35="",0,$D$35),H62))=0,0,H52/(IF(H62="",IF($D$35="",0,$D$35),H62)))))))*(IF(H62="",IF($D$35="",0,$D$35),H62))))</f>
        <v/>
      </c>
      <c r="T99" s="75" t="str">
        <f aca="false">IF(R99="","",R99+S99)</f>
        <v/>
      </c>
    </row>
    <row r="100" customFormat="false" ht="15" hidden="false" customHeight="false" outlineLevel="0" collapsed="false">
      <c r="A100" s="74" t="n">
        <v>15</v>
      </c>
      <c r="B100" s="75" t="n">
        <v>3637325</v>
      </c>
      <c r="C100" s="76" t="n">
        <v>58447</v>
      </c>
      <c r="D100" s="76" t="n">
        <v>0</v>
      </c>
      <c r="E100" s="76" t="n">
        <v>58447</v>
      </c>
      <c r="F100" s="75" t="n">
        <f aca="false">IF(D52="","",IF(15&gt;IF(D55="",10,D55),"",D52*(1+IF(D53="",0,D53))^ROUNDDOWN((15-1)/IF(D54="",5,D54),0)))</f>
        <v>60808.2588</v>
      </c>
      <c r="G100" s="75" t="n">
        <f aca="false">IF(F100="","",IF((IF(D62="",IF($D$35="",0,$D$35),D62))=0,0,MAX(0,3637325.09-(IF(D63&lt;&gt;"",D63,IF($D$37&lt;&gt;"",$D$37,IF((IF(D62="",IF($D$35="",0,$D$35),D62))=0,0,D52/(IF(D62="",IF($D$35="",0,$D$35),D62)))))))*(IF(D62="",IF($D$35="",0,$D$35),D62))))</f>
        <v>0</v>
      </c>
      <c r="H100" s="75" t="n">
        <f aca="false">IF(F100="","",F100+G100)</f>
        <v>60808.2588</v>
      </c>
      <c r="I100" s="75" t="str">
        <f aca="false">IF(E52="","",IF(15&gt;IF(E55="",10,E55),"",E52*(1+IF(E53="",0,E53))^ROUNDDOWN((15-1)/IF(E54="",5,E54),0)))</f>
        <v/>
      </c>
      <c r="J100" s="75" t="str">
        <f aca="false">IF(I100="","",IF((IF(E62="",IF($D$35="",0,$D$35),E62))=0,0,MAX(0,3637325.09-(IF(E63&lt;&gt;"",E63,IF($D$37&lt;&gt;"",$D$37,IF((IF(E62="",IF($D$35="",0,$D$35),E62))=0,0,E52/(IF(E62="",IF($D$35="",0,$D$35),E62)))))))*(IF(E62="",IF($D$35="",0,$D$35),E62))))</f>
        <v/>
      </c>
      <c r="K100" s="75" t="str">
        <f aca="false">IF(I100="","",I100+J100)</f>
        <v/>
      </c>
      <c r="L100" s="75" t="str">
        <f aca="false">IF(F52="","",IF(15&gt;IF(F55="",10,F55),"",F52*(1+IF(F53="",0,F53))^ROUNDDOWN((15-1)/IF(F54="",5,F54),0)))</f>
        <v/>
      </c>
      <c r="M100" s="75" t="str">
        <f aca="false">IF(L100="","",IF((IF(F62="",IF($D$35="",0,$D$35),F62))=0,0,MAX(0,3637325.09-(IF(F63&lt;&gt;"",F63,IF($D$37&lt;&gt;"",$D$37,IF((IF(F62="",IF($D$35="",0,$D$35),F62))=0,0,F52/(IF(F62="",IF($D$35="",0,$D$35),F62)))))))*(IF(F62="",IF($D$35="",0,$D$35),F62))))</f>
        <v/>
      </c>
      <c r="N100" s="75" t="str">
        <f aca="false">IF(L100="","",L100+M100)</f>
        <v/>
      </c>
      <c r="O100" s="75" t="str">
        <f aca="false">IF(G52="","",IF(15&gt;IF(G55="",10,G55),"",G52*(1+IF(G53="",0,G53))^ROUNDDOWN((15-1)/IF(G54="",5,G54),0)))</f>
        <v/>
      </c>
      <c r="P100" s="75" t="str">
        <f aca="false">IF(O100="","",IF((IF(G62="",IF($D$35="",0,$D$35),G62))=0,0,MAX(0,3637325.09-(IF(G63&lt;&gt;"",G63,IF($D$37&lt;&gt;"",$D$37,IF((IF(G62="",IF($D$35="",0,$D$35),G62))=0,0,G52/(IF(G62="",IF($D$35="",0,$D$35),G62)))))))*(IF(G62="",IF($D$35="",0,$D$35),G62))))</f>
        <v/>
      </c>
      <c r="Q100" s="75" t="str">
        <f aca="false">IF(O100="","",O100+P100)</f>
        <v/>
      </c>
      <c r="R100" s="75" t="str">
        <f aca="false">IF(H52="","",IF(15&gt;IF(H55="",10,H55),"",H52*(1+IF(H53="",0,H53))^ROUNDDOWN((15-1)/IF(H54="",5,H54),0)))</f>
        <v/>
      </c>
      <c r="S100" s="75" t="str">
        <f aca="false">IF(R100="","",IF((IF(H62="",IF($D$35="",0,$D$35),H62))=0,0,MAX(0,3637325.09-(IF(H63&lt;&gt;"",H63,IF($D$37&lt;&gt;"",$D$37,IF((IF(H62="",IF($D$35="",0,$D$35),H62))=0,0,H52/(IF(H62="",IF($D$35="",0,$D$35),H62)))))))*(IF(H62="",IF($D$35="",0,$D$35),H62))))</f>
        <v/>
      </c>
      <c r="T100" s="75" t="str">
        <f aca="false">IF(R100="","",R100+S100)</f>
        <v/>
      </c>
    </row>
    <row r="101" customFormat="false" ht="15" hidden="false" customHeight="false" outlineLevel="0" collapsed="false">
      <c r="A101" s="74" t="n">
        <v>16</v>
      </c>
      <c r="B101" s="75" t="n">
        <v>3710072</v>
      </c>
      <c r="C101" s="76" t="n">
        <v>58447</v>
      </c>
      <c r="D101" s="76" t="n">
        <v>0</v>
      </c>
      <c r="E101" s="76" t="n">
        <v>58447</v>
      </c>
      <c r="F101" s="75" t="n">
        <f aca="false">IF(D52="","",IF(16&gt;IF(D55="",10,D55),"",D52*(1+IF(D53="",0,D53))^ROUNDDOWN((16-1)/IF(D54="",5,D54),0)))</f>
        <v>62024.423976</v>
      </c>
      <c r="G101" s="75" t="n">
        <f aca="false">IF(F101="","",IF((IF(D62="",IF($D$35="",0,$D$35),D62))=0,0,MAX(0,3710071.59-(IF(D63&lt;&gt;"",D63,IF($D$37&lt;&gt;"",$D$37,IF((IF(D62="",IF($D$35="",0,$D$35),D62))=0,0,D52/(IF(D62="",IF($D$35="",0,$D$35),D62)))))))*(IF(D62="",IF($D$35="",0,$D$35),D62))))</f>
        <v>0</v>
      </c>
      <c r="H101" s="75" t="n">
        <f aca="false">IF(F101="","",F101+G101)</f>
        <v>62024.423976</v>
      </c>
      <c r="I101" s="75" t="str">
        <f aca="false">IF(E52="","",IF(16&gt;IF(E55="",10,E55),"",E52*(1+IF(E53="",0,E53))^ROUNDDOWN((16-1)/IF(E54="",5,E54),0)))</f>
        <v/>
      </c>
      <c r="J101" s="75" t="str">
        <f aca="false">IF(I101="","",IF((IF(E62="",IF($D$35="",0,$D$35),E62))=0,0,MAX(0,3710071.59-(IF(E63&lt;&gt;"",E63,IF($D$37&lt;&gt;"",$D$37,IF((IF(E62="",IF($D$35="",0,$D$35),E62))=0,0,E52/(IF(E62="",IF($D$35="",0,$D$35),E62)))))))*(IF(E62="",IF($D$35="",0,$D$35),E62))))</f>
        <v/>
      </c>
      <c r="K101" s="75" t="str">
        <f aca="false">IF(I101="","",I101+J101)</f>
        <v/>
      </c>
      <c r="L101" s="75" t="str">
        <f aca="false">IF(F52="","",IF(16&gt;IF(F55="",10,F55),"",F52*(1+IF(F53="",0,F53))^ROUNDDOWN((16-1)/IF(F54="",5,F54),0)))</f>
        <v/>
      </c>
      <c r="M101" s="75" t="str">
        <f aca="false">IF(L101="","",IF((IF(F62="",IF($D$35="",0,$D$35),F62))=0,0,MAX(0,3710071.59-(IF(F63&lt;&gt;"",F63,IF($D$37&lt;&gt;"",$D$37,IF((IF(F62="",IF($D$35="",0,$D$35),F62))=0,0,F52/(IF(F62="",IF($D$35="",0,$D$35),F62)))))))*(IF(F62="",IF($D$35="",0,$D$35),F62))))</f>
        <v/>
      </c>
      <c r="N101" s="75" t="str">
        <f aca="false">IF(L101="","",L101+M101)</f>
        <v/>
      </c>
      <c r="O101" s="75" t="str">
        <f aca="false">IF(G52="","",IF(16&gt;IF(G55="",10,G55),"",G52*(1+IF(G53="",0,G53))^ROUNDDOWN((16-1)/IF(G54="",5,G54),0)))</f>
        <v/>
      </c>
      <c r="P101" s="75" t="str">
        <f aca="false">IF(O101="","",IF((IF(G62="",IF($D$35="",0,$D$35),G62))=0,0,MAX(0,3710071.59-(IF(G63&lt;&gt;"",G63,IF($D$37&lt;&gt;"",$D$37,IF((IF(G62="",IF($D$35="",0,$D$35),G62))=0,0,G52/(IF(G62="",IF($D$35="",0,$D$35),G62)))))))*(IF(G62="",IF($D$35="",0,$D$35),G62))))</f>
        <v/>
      </c>
      <c r="Q101" s="75" t="str">
        <f aca="false">IF(O101="","",O101+P101)</f>
        <v/>
      </c>
      <c r="R101" s="75" t="str">
        <f aca="false">IF(H52="","",IF(16&gt;IF(H55="",10,H55),"",H52*(1+IF(H53="",0,H53))^ROUNDDOWN((16-1)/IF(H54="",5,H54),0)))</f>
        <v/>
      </c>
      <c r="S101" s="75" t="str">
        <f aca="false">IF(R101="","",IF((IF(H62="",IF($D$35="",0,$D$35),H62))=0,0,MAX(0,3710071.59-(IF(H63&lt;&gt;"",H63,IF($D$37&lt;&gt;"",$D$37,IF((IF(H62="",IF($D$35="",0,$D$35),H62))=0,0,H52/(IF(H62="",IF($D$35="",0,$D$35),H62)))))))*(IF(H62="",IF($D$35="",0,$D$35),H62))))</f>
        <v/>
      </c>
      <c r="T101" s="75" t="str">
        <f aca="false">IF(R101="","",R101+S101)</f>
        <v/>
      </c>
    </row>
    <row r="102" customFormat="false" ht="15" hidden="false" customHeight="false" outlineLevel="0" collapsed="false">
      <c r="A102" s="74" t="n">
        <v>17</v>
      </c>
      <c r="B102" s="75" t="n">
        <v>3784273</v>
      </c>
      <c r="C102" s="76" t="n">
        <v>58447</v>
      </c>
      <c r="D102" s="76" t="n">
        <v>0</v>
      </c>
      <c r="E102" s="76" t="n">
        <v>58447</v>
      </c>
      <c r="F102" s="75" t="n">
        <f aca="false">IF(D52="","",IF(17&gt;IF(D55="",10,D55),"",D52*(1+IF(D53="",0,D53))^ROUNDDOWN((17-1)/IF(D54="",5,D54),0)))</f>
        <v>62024.423976</v>
      </c>
      <c r="G102" s="75" t="n">
        <f aca="false">IF(F102="","",IF((IF(D62="",IF($D$35="",0,$D$35),D62))=0,0,MAX(0,3784273.02-(IF(D63&lt;&gt;"",D63,IF($D$37&lt;&gt;"",$D$37,IF((IF(D62="",IF($D$35="",0,$D$35),D62))=0,0,D52/(IF(D62="",IF($D$35="",0,$D$35),D62)))))))*(IF(D62="",IF($D$35="",0,$D$35),D62))))</f>
        <v>0</v>
      </c>
      <c r="H102" s="75" t="n">
        <f aca="false">IF(F102="","",F102+G102)</f>
        <v>62024.423976</v>
      </c>
      <c r="I102" s="75" t="str">
        <f aca="false">IF(E52="","",IF(17&gt;IF(E55="",10,E55),"",E52*(1+IF(E53="",0,E53))^ROUNDDOWN((17-1)/IF(E54="",5,E54),0)))</f>
        <v/>
      </c>
      <c r="J102" s="75" t="str">
        <f aca="false">IF(I102="","",IF((IF(E62="",IF($D$35="",0,$D$35),E62))=0,0,MAX(0,3784273.02-(IF(E63&lt;&gt;"",E63,IF($D$37&lt;&gt;"",$D$37,IF((IF(E62="",IF($D$35="",0,$D$35),E62))=0,0,E52/(IF(E62="",IF($D$35="",0,$D$35),E62)))))))*(IF(E62="",IF($D$35="",0,$D$35),E62))))</f>
        <v/>
      </c>
      <c r="K102" s="75" t="str">
        <f aca="false">IF(I102="","",I102+J102)</f>
        <v/>
      </c>
      <c r="L102" s="75" t="str">
        <f aca="false">IF(F52="","",IF(17&gt;IF(F55="",10,F55),"",F52*(1+IF(F53="",0,F53))^ROUNDDOWN((17-1)/IF(F54="",5,F54),0)))</f>
        <v/>
      </c>
      <c r="M102" s="75" t="str">
        <f aca="false">IF(L102="","",IF((IF(F62="",IF($D$35="",0,$D$35),F62))=0,0,MAX(0,3784273.02-(IF(F63&lt;&gt;"",F63,IF($D$37&lt;&gt;"",$D$37,IF((IF(F62="",IF($D$35="",0,$D$35),F62))=0,0,F52/(IF(F62="",IF($D$35="",0,$D$35),F62)))))))*(IF(F62="",IF($D$35="",0,$D$35),F62))))</f>
        <v/>
      </c>
      <c r="N102" s="75" t="str">
        <f aca="false">IF(L102="","",L102+M102)</f>
        <v/>
      </c>
      <c r="O102" s="75" t="str">
        <f aca="false">IF(G52="","",IF(17&gt;IF(G55="",10,G55),"",G52*(1+IF(G53="",0,G53))^ROUNDDOWN((17-1)/IF(G54="",5,G54),0)))</f>
        <v/>
      </c>
      <c r="P102" s="75" t="str">
        <f aca="false">IF(O102="","",IF((IF(G62="",IF($D$35="",0,$D$35),G62))=0,0,MAX(0,3784273.02-(IF(G63&lt;&gt;"",G63,IF($D$37&lt;&gt;"",$D$37,IF((IF(G62="",IF($D$35="",0,$D$35),G62))=0,0,G52/(IF(G62="",IF($D$35="",0,$D$35),G62)))))))*(IF(G62="",IF($D$35="",0,$D$35),G62))))</f>
        <v/>
      </c>
      <c r="Q102" s="75" t="str">
        <f aca="false">IF(O102="","",O102+P102)</f>
        <v/>
      </c>
      <c r="R102" s="75" t="str">
        <f aca="false">IF(H52="","",IF(17&gt;IF(H55="",10,H55),"",H52*(1+IF(H53="",0,H53))^ROUNDDOWN((17-1)/IF(H54="",5,H54),0)))</f>
        <v/>
      </c>
      <c r="S102" s="75" t="str">
        <f aca="false">IF(R102="","",IF((IF(H62="",IF($D$35="",0,$D$35),H62))=0,0,MAX(0,3784273.02-(IF(H63&lt;&gt;"",H63,IF($D$37&lt;&gt;"",$D$37,IF((IF(H62="",IF($D$35="",0,$D$35),H62))=0,0,H52/(IF(H62="",IF($D$35="",0,$D$35),H62)))))))*(IF(H62="",IF($D$35="",0,$D$35),H62))))</f>
        <v/>
      </c>
      <c r="T102" s="75" t="str">
        <f aca="false">IF(R102="","",R102+S102)</f>
        <v/>
      </c>
    </row>
    <row r="103" customFormat="false" ht="15" hidden="false" customHeight="false" outlineLevel="0" collapsed="false">
      <c r="A103" s="74" t="n">
        <v>18</v>
      </c>
      <c r="B103" s="75" t="n">
        <v>3859958</v>
      </c>
      <c r="C103" s="76" t="n">
        <v>58447</v>
      </c>
      <c r="D103" s="76" t="n">
        <v>0</v>
      </c>
      <c r="E103" s="76" t="n">
        <v>58447</v>
      </c>
      <c r="F103" s="75" t="n">
        <f aca="false">IF(D52="","",IF(18&gt;IF(D55="",10,D55),"",D52*(1+IF(D53="",0,D53))^ROUNDDOWN((18-1)/IF(D54="",5,D54),0)))</f>
        <v>62024.423976</v>
      </c>
      <c r="G103" s="75" t="n">
        <f aca="false">IF(F103="","",IF((IF(D62="",IF($D$35="",0,$D$35),D62))=0,0,MAX(0,3859958.48-(IF(D63&lt;&gt;"",D63,IF($D$37&lt;&gt;"",$D$37,IF((IF(D62="",IF($D$35="",0,$D$35),D62))=0,0,D52/(IF(D62="",IF($D$35="",0,$D$35),D62)))))))*(IF(D62="",IF($D$35="",0,$D$35),D62))))</f>
        <v>0</v>
      </c>
      <c r="H103" s="75" t="n">
        <f aca="false">IF(F103="","",F103+G103)</f>
        <v>62024.423976</v>
      </c>
      <c r="I103" s="75" t="str">
        <f aca="false">IF(E52="","",IF(18&gt;IF(E55="",10,E55),"",E52*(1+IF(E53="",0,E53))^ROUNDDOWN((18-1)/IF(E54="",5,E54),0)))</f>
        <v/>
      </c>
      <c r="J103" s="75" t="str">
        <f aca="false">IF(I103="","",IF((IF(E62="",IF($D$35="",0,$D$35),E62))=0,0,MAX(0,3859958.48-(IF(E63&lt;&gt;"",E63,IF($D$37&lt;&gt;"",$D$37,IF((IF(E62="",IF($D$35="",0,$D$35),E62))=0,0,E52/(IF(E62="",IF($D$35="",0,$D$35),E62)))))))*(IF(E62="",IF($D$35="",0,$D$35),E62))))</f>
        <v/>
      </c>
      <c r="K103" s="75" t="str">
        <f aca="false">IF(I103="","",I103+J103)</f>
        <v/>
      </c>
      <c r="L103" s="75" t="str">
        <f aca="false">IF(F52="","",IF(18&gt;IF(F55="",10,F55),"",F52*(1+IF(F53="",0,F53))^ROUNDDOWN((18-1)/IF(F54="",5,F54),0)))</f>
        <v/>
      </c>
      <c r="M103" s="75" t="str">
        <f aca="false">IF(L103="","",IF((IF(F62="",IF($D$35="",0,$D$35),F62))=0,0,MAX(0,3859958.48-(IF(F63&lt;&gt;"",F63,IF($D$37&lt;&gt;"",$D$37,IF((IF(F62="",IF($D$35="",0,$D$35),F62))=0,0,F52/(IF(F62="",IF($D$35="",0,$D$35),F62)))))))*(IF(F62="",IF($D$35="",0,$D$35),F62))))</f>
        <v/>
      </c>
      <c r="N103" s="75" t="str">
        <f aca="false">IF(L103="","",L103+M103)</f>
        <v/>
      </c>
      <c r="O103" s="75" t="str">
        <f aca="false">IF(G52="","",IF(18&gt;IF(G55="",10,G55),"",G52*(1+IF(G53="",0,G53))^ROUNDDOWN((18-1)/IF(G54="",5,G54),0)))</f>
        <v/>
      </c>
      <c r="P103" s="75" t="str">
        <f aca="false">IF(O103="","",IF((IF(G62="",IF($D$35="",0,$D$35),G62))=0,0,MAX(0,3859958.48-(IF(G63&lt;&gt;"",G63,IF($D$37&lt;&gt;"",$D$37,IF((IF(G62="",IF($D$35="",0,$D$35),G62))=0,0,G52/(IF(G62="",IF($D$35="",0,$D$35),G62)))))))*(IF(G62="",IF($D$35="",0,$D$35),G62))))</f>
        <v/>
      </c>
      <c r="Q103" s="75" t="str">
        <f aca="false">IF(O103="","",O103+P103)</f>
        <v/>
      </c>
      <c r="R103" s="75" t="str">
        <f aca="false">IF(H52="","",IF(18&gt;IF(H55="",10,H55),"",H52*(1+IF(H53="",0,H53))^ROUNDDOWN((18-1)/IF(H54="",5,H54),0)))</f>
        <v/>
      </c>
      <c r="S103" s="75" t="str">
        <f aca="false">IF(R103="","",IF((IF(H62="",IF($D$35="",0,$D$35),H62))=0,0,MAX(0,3859958.48-(IF(H63&lt;&gt;"",H63,IF($D$37&lt;&gt;"",$D$37,IF((IF(H62="",IF($D$35="",0,$D$35),H62))=0,0,H52/(IF(H62="",IF($D$35="",0,$D$35),H62)))))))*(IF(H62="",IF($D$35="",0,$D$35),H62))))</f>
        <v/>
      </c>
      <c r="T103" s="75" t="str">
        <f aca="false">IF(R103="","",R103+S103)</f>
        <v/>
      </c>
    </row>
    <row r="104" customFormat="false" ht="15" hidden="false" customHeight="false" outlineLevel="0" collapsed="false">
      <c r="A104" s="74" t="n">
        <v>19</v>
      </c>
      <c r="B104" s="75" t="n">
        <v>3937158</v>
      </c>
      <c r="C104" s="76" t="n">
        <v>58447</v>
      </c>
      <c r="D104" s="76" t="n">
        <v>0</v>
      </c>
      <c r="E104" s="76" t="n">
        <v>58447</v>
      </c>
      <c r="F104" s="75" t="n">
        <f aca="false">IF(D52="","",IF(19&gt;IF(D55="",10,D55),"",D52*(1+IF(D53="",0,D53))^ROUNDDOWN((19-1)/IF(D54="",5,D54),0)))</f>
        <v>62024.423976</v>
      </c>
      <c r="G104" s="75" t="n">
        <f aca="false">IF(F104="","",IF((IF(D62="",IF($D$35="",0,$D$35),D62))=0,0,MAX(0,3937157.65-(IF(D63&lt;&gt;"",D63,IF($D$37&lt;&gt;"",$D$37,IF((IF(D62="",IF($D$35="",0,$D$35),D62))=0,0,D52/(IF(D62="",IF($D$35="",0,$D$35),D62)))))))*(IF(D62="",IF($D$35="",0,$D$35),D62))))</f>
        <v>0</v>
      </c>
      <c r="H104" s="75" t="n">
        <f aca="false">IF(F104="","",F104+G104)</f>
        <v>62024.423976</v>
      </c>
      <c r="I104" s="75" t="str">
        <f aca="false">IF(E52="","",IF(19&gt;IF(E55="",10,E55),"",E52*(1+IF(E53="",0,E53))^ROUNDDOWN((19-1)/IF(E54="",5,E54),0)))</f>
        <v/>
      </c>
      <c r="J104" s="75" t="str">
        <f aca="false">IF(I104="","",IF((IF(E62="",IF($D$35="",0,$D$35),E62))=0,0,MAX(0,3937157.65-(IF(E63&lt;&gt;"",E63,IF($D$37&lt;&gt;"",$D$37,IF((IF(E62="",IF($D$35="",0,$D$35),E62))=0,0,E52/(IF(E62="",IF($D$35="",0,$D$35),E62)))))))*(IF(E62="",IF($D$35="",0,$D$35),E62))))</f>
        <v/>
      </c>
      <c r="K104" s="75" t="str">
        <f aca="false">IF(I104="","",I104+J104)</f>
        <v/>
      </c>
      <c r="L104" s="75" t="str">
        <f aca="false">IF(F52="","",IF(19&gt;IF(F55="",10,F55),"",F52*(1+IF(F53="",0,F53))^ROUNDDOWN((19-1)/IF(F54="",5,F54),0)))</f>
        <v/>
      </c>
      <c r="M104" s="75" t="str">
        <f aca="false">IF(L104="","",IF((IF(F62="",IF($D$35="",0,$D$35),F62))=0,0,MAX(0,3937157.65-(IF(F63&lt;&gt;"",F63,IF($D$37&lt;&gt;"",$D$37,IF((IF(F62="",IF($D$35="",0,$D$35),F62))=0,0,F52/(IF(F62="",IF($D$35="",0,$D$35),F62)))))))*(IF(F62="",IF($D$35="",0,$D$35),F62))))</f>
        <v/>
      </c>
      <c r="N104" s="75" t="str">
        <f aca="false">IF(L104="","",L104+M104)</f>
        <v/>
      </c>
      <c r="O104" s="75" t="str">
        <f aca="false">IF(G52="","",IF(19&gt;IF(G55="",10,G55),"",G52*(1+IF(G53="",0,G53))^ROUNDDOWN((19-1)/IF(G54="",5,G54),0)))</f>
        <v/>
      </c>
      <c r="P104" s="75" t="str">
        <f aca="false">IF(O104="","",IF((IF(G62="",IF($D$35="",0,$D$35),G62))=0,0,MAX(0,3937157.65-(IF(G63&lt;&gt;"",G63,IF($D$37&lt;&gt;"",$D$37,IF((IF(G62="",IF($D$35="",0,$D$35),G62))=0,0,G52/(IF(G62="",IF($D$35="",0,$D$35),G62)))))))*(IF(G62="",IF($D$35="",0,$D$35),G62))))</f>
        <v/>
      </c>
      <c r="Q104" s="75" t="str">
        <f aca="false">IF(O104="","",O104+P104)</f>
        <v/>
      </c>
      <c r="R104" s="75" t="str">
        <f aca="false">IF(H52="","",IF(19&gt;IF(H55="",10,H55),"",H52*(1+IF(H53="",0,H53))^ROUNDDOWN((19-1)/IF(H54="",5,H54),0)))</f>
        <v/>
      </c>
      <c r="S104" s="75" t="str">
        <f aca="false">IF(R104="","",IF((IF(H62="",IF($D$35="",0,$D$35),H62))=0,0,MAX(0,3937157.65-(IF(H63&lt;&gt;"",H63,IF($D$37&lt;&gt;"",$D$37,IF((IF(H62="",IF($D$35="",0,$D$35),H62))=0,0,H52/(IF(H62="",IF($D$35="",0,$D$35),H62)))))))*(IF(H62="",IF($D$35="",0,$D$35),H62))))</f>
        <v/>
      </c>
      <c r="T104" s="75" t="str">
        <f aca="false">IF(R104="","",R104+S104)</f>
        <v/>
      </c>
    </row>
    <row r="105" customFormat="false" ht="15" hidden="false" customHeight="false" outlineLevel="0" collapsed="false">
      <c r="A105" s="74" t="n">
        <v>20</v>
      </c>
      <c r="B105" s="75" t="n">
        <v>4015901</v>
      </c>
      <c r="C105" s="76" t="n">
        <v>58447</v>
      </c>
      <c r="D105" s="76" t="n">
        <v>0</v>
      </c>
      <c r="E105" s="76" t="n">
        <v>58447</v>
      </c>
      <c r="F105" s="75" t="n">
        <f aca="false">IF(D52="","",IF(20&gt;IF(D55="",10,D55),"",D52*(1+IF(D53="",0,D53))^ROUNDDOWN((20-1)/IF(D54="",5,D54),0)))</f>
        <v>62024.423976</v>
      </c>
      <c r="G105" s="75" t="n">
        <f aca="false">IF(F105="","",IF((IF(D62="",IF($D$35="",0,$D$35),D62))=0,0,MAX(0,4015900.8-(IF(D63&lt;&gt;"",D63,IF($D$37&lt;&gt;"",$D$37,IF((IF(D62="",IF($D$35="",0,$D$35),D62))=0,0,D52/(IF(D62="",IF($D$35="",0,$D$35),D62)))))))*(IF(D62="",IF($D$35="",0,$D$35),D62))))</f>
        <v>0</v>
      </c>
      <c r="H105" s="75" t="n">
        <f aca="false">IF(F105="","",F105+G105)</f>
        <v>62024.423976</v>
      </c>
      <c r="I105" s="75" t="str">
        <f aca="false">IF(E52="","",IF(20&gt;IF(E55="",10,E55),"",E52*(1+IF(E53="",0,E53))^ROUNDDOWN((20-1)/IF(E54="",5,E54),0)))</f>
        <v/>
      </c>
      <c r="J105" s="75" t="str">
        <f aca="false">IF(I105="","",IF((IF(E62="",IF($D$35="",0,$D$35),E62))=0,0,MAX(0,4015900.8-(IF(E63&lt;&gt;"",E63,IF($D$37&lt;&gt;"",$D$37,IF((IF(E62="",IF($D$35="",0,$D$35),E62))=0,0,E52/(IF(E62="",IF($D$35="",0,$D$35),E62)))))))*(IF(E62="",IF($D$35="",0,$D$35),E62))))</f>
        <v/>
      </c>
      <c r="K105" s="75" t="str">
        <f aca="false">IF(I105="","",I105+J105)</f>
        <v/>
      </c>
      <c r="L105" s="75" t="str">
        <f aca="false">IF(F52="","",IF(20&gt;IF(F55="",10,F55),"",F52*(1+IF(F53="",0,F53))^ROUNDDOWN((20-1)/IF(F54="",5,F54),0)))</f>
        <v/>
      </c>
      <c r="M105" s="75" t="str">
        <f aca="false">IF(L105="","",IF((IF(F62="",IF($D$35="",0,$D$35),F62))=0,0,MAX(0,4015900.8-(IF(F63&lt;&gt;"",F63,IF($D$37&lt;&gt;"",$D$37,IF((IF(F62="",IF($D$35="",0,$D$35),F62))=0,0,F52/(IF(F62="",IF($D$35="",0,$D$35),F62)))))))*(IF(F62="",IF($D$35="",0,$D$35),F62))))</f>
        <v/>
      </c>
      <c r="N105" s="75" t="str">
        <f aca="false">IF(L105="","",L105+M105)</f>
        <v/>
      </c>
      <c r="O105" s="75" t="str">
        <f aca="false">IF(G52="","",IF(20&gt;IF(G55="",10,G55),"",G52*(1+IF(G53="",0,G53))^ROUNDDOWN((20-1)/IF(G54="",5,G54),0)))</f>
        <v/>
      </c>
      <c r="P105" s="75" t="str">
        <f aca="false">IF(O105="","",IF((IF(G62="",IF($D$35="",0,$D$35),G62))=0,0,MAX(0,4015900.8-(IF(G63&lt;&gt;"",G63,IF($D$37&lt;&gt;"",$D$37,IF((IF(G62="",IF($D$35="",0,$D$35),G62))=0,0,G52/(IF(G62="",IF($D$35="",0,$D$35),G62)))))))*(IF(G62="",IF($D$35="",0,$D$35),G62))))</f>
        <v/>
      </c>
      <c r="Q105" s="75" t="str">
        <f aca="false">IF(O105="","",O105+P105)</f>
        <v/>
      </c>
      <c r="R105" s="75" t="str">
        <f aca="false">IF(H52="","",IF(20&gt;IF(H55="",10,H55),"",H52*(1+IF(H53="",0,H53))^ROUNDDOWN((20-1)/IF(H54="",5,H54),0)))</f>
        <v/>
      </c>
      <c r="S105" s="75" t="str">
        <f aca="false">IF(R105="","",IF((IF(H62="",IF($D$35="",0,$D$35),H62))=0,0,MAX(0,4015900.8-(IF(H63&lt;&gt;"",H63,IF($D$37&lt;&gt;"",$D$37,IF((IF(H62="",IF($D$35="",0,$D$35),H62))=0,0,H52/(IF(H62="",IF($D$35="",0,$D$35),H62)))))))*(IF(H62="",IF($D$35="",0,$D$35),H62))))</f>
        <v/>
      </c>
      <c r="T105" s="75" t="str">
        <f aca="false">IF(R105="","",R105+S105)</f>
        <v/>
      </c>
    </row>
    <row r="106" customFormat="false" ht="15" hidden="false" customHeight="false" outlineLevel="0" collapsed="false">
      <c r="A106" s="77" t="s">
        <v>394</v>
      </c>
      <c r="C106" s="78" t="n">
        <f aca="false">IF(COUNT(C86:C105)=0,"",SUM(C86:C105))</f>
        <v>1168940</v>
      </c>
      <c r="D106" s="78" t="n">
        <f aca="false">IF(COUNT(D86:D105)=0,"",SUM(D86:D105))</f>
        <v>0</v>
      </c>
      <c r="E106" s="78" t="n">
        <f aca="false">IF(COUNT(E86:E105)=0,"",SUM(E86:E105))</f>
        <v>1168940</v>
      </c>
      <c r="F106" s="78" t="n">
        <f aca="false">IF(COUNT(F86:F105)=0,"",SUM(F86:F105))</f>
        <v>1204478.11388</v>
      </c>
      <c r="G106" s="78" t="n">
        <f aca="false">IF(COUNT(G86:G105)=0,"",SUM(G86:G105))</f>
        <v>0</v>
      </c>
      <c r="H106" s="78" t="n">
        <f aca="false">IF(COUNT(H86:H105)=0,"",SUM(H86:H105))</f>
        <v>1204478.11388</v>
      </c>
      <c r="I106" s="78" t="str">
        <f aca="false">IF(COUNT(I86:I105)=0,"",SUM(I86:I105))</f>
        <v/>
      </c>
      <c r="J106" s="78" t="str">
        <f aca="false">IF(COUNT(J86:J105)=0,"",SUM(J86:J105))</f>
        <v/>
      </c>
      <c r="K106" s="78" t="str">
        <f aca="false">IF(COUNT(K86:K105)=0,"",SUM(K86:K105))</f>
        <v/>
      </c>
      <c r="L106" s="78" t="str">
        <f aca="false">IF(COUNT(L86:L105)=0,"",SUM(L86:L105))</f>
        <v/>
      </c>
      <c r="M106" s="78" t="str">
        <f aca="false">IF(COUNT(M86:M105)=0,"",SUM(M86:M105))</f>
        <v/>
      </c>
      <c r="N106" s="78" t="str">
        <f aca="false">IF(COUNT(N86:N105)=0,"",SUM(N86:N105))</f>
        <v/>
      </c>
      <c r="O106" s="78" t="str">
        <f aca="false">IF(COUNT(O86:O105)=0,"",SUM(O86:O105))</f>
        <v/>
      </c>
      <c r="P106" s="78" t="str">
        <f aca="false">IF(COUNT(P86:P105)=0,"",SUM(P86:P105))</f>
        <v/>
      </c>
      <c r="Q106" s="78" t="str">
        <f aca="false">IF(COUNT(Q86:Q105)=0,"",SUM(Q86:Q105))</f>
        <v/>
      </c>
      <c r="R106" s="78" t="str">
        <f aca="false">IF(COUNT(R86:R105)=0,"",SUM(R86:R105))</f>
        <v/>
      </c>
      <c r="S106" s="78" t="str">
        <f aca="false">IF(COUNT(S86:S105)=0,"",SUM(S86:S105))</f>
        <v/>
      </c>
      <c r="T106" s="78" t="str">
        <f aca="false">IF(COUNT(T86:T105)=0,"",SUM(T86:T105))</f>
        <v/>
      </c>
    </row>
    <row r="107" customFormat="false" ht="15" hidden="false" customHeight="false" outlineLevel="0" collapsed="false">
      <c r="A107" s="69" t="s">
        <v>395</v>
      </c>
      <c r="B107" s="69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</row>
  </sheetData>
  <mergeCells count="83">
    <mergeCell ref="A2:J2"/>
    <mergeCell ref="A3:J3"/>
    <mergeCell ref="A4:J4"/>
    <mergeCell ref="A5:J5"/>
    <mergeCell ref="A6:J6"/>
    <mergeCell ref="A7:J7"/>
    <mergeCell ref="A8:J8"/>
    <mergeCell ref="A10:C10"/>
    <mergeCell ref="D10:J10"/>
    <mergeCell ref="A11:C11"/>
    <mergeCell ref="D11:J11"/>
    <mergeCell ref="A12:C12"/>
    <mergeCell ref="D12:J12"/>
    <mergeCell ref="A13:C13"/>
    <mergeCell ref="D13:J13"/>
    <mergeCell ref="A14:C14"/>
    <mergeCell ref="D14:J14"/>
    <mergeCell ref="G17:J17"/>
    <mergeCell ref="G18:J18"/>
    <mergeCell ref="G19:J19"/>
    <mergeCell ref="G20:J20"/>
    <mergeCell ref="A21:D21"/>
    <mergeCell ref="A22:J22"/>
    <mergeCell ref="A25:C25"/>
    <mergeCell ref="A26:C26"/>
    <mergeCell ref="E26:J26"/>
    <mergeCell ref="A27:C27"/>
    <mergeCell ref="E27:J27"/>
    <mergeCell ref="A28:C28"/>
    <mergeCell ref="A29:C29"/>
    <mergeCell ref="A30:C30"/>
    <mergeCell ref="E30:J30"/>
    <mergeCell ref="A31:J31"/>
    <mergeCell ref="A32:J32"/>
    <mergeCell ref="A35:C35"/>
    <mergeCell ref="E35:J35"/>
    <mergeCell ref="A36:C36"/>
    <mergeCell ref="E36:J36"/>
    <mergeCell ref="A37:C37"/>
    <mergeCell ref="E37:J37"/>
    <mergeCell ref="A38:C38"/>
    <mergeCell ref="E38:J38"/>
    <mergeCell ref="A39:C39"/>
    <mergeCell ref="A40:C40"/>
    <mergeCell ref="A41:C41"/>
    <mergeCell ref="A42:C42"/>
    <mergeCell ref="A47:G47"/>
    <mergeCell ref="A50:C50"/>
    <mergeCell ref="A51:C51"/>
    <mergeCell ref="A52:C52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2:C62"/>
    <mergeCell ref="A63:C63"/>
    <mergeCell ref="A64:C64"/>
    <mergeCell ref="A65:C65"/>
    <mergeCell ref="A66:C66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7:J77"/>
    <mergeCell ref="A79:J79"/>
    <mergeCell ref="A83:T83"/>
    <mergeCell ref="C84:E84"/>
    <mergeCell ref="F84:H84"/>
    <mergeCell ref="I84:K84"/>
    <mergeCell ref="L84:N84"/>
    <mergeCell ref="O84:Q84"/>
    <mergeCell ref="R84:T84"/>
    <mergeCell ref="A107:T107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8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4"/>
    <col collapsed="false" customWidth="true" hidden="false" outlineLevel="0" max="2" min="2" style="0" width="38"/>
    <col collapsed="false" customWidth="true" hidden="false" outlineLevel="0" max="3" min="3" style="0" width="12"/>
    <col collapsed="false" customWidth="true" hidden="false" outlineLevel="0" max="4" min="4" style="0" width="20"/>
    <col collapsed="false" customWidth="true" hidden="false" outlineLevel="0" max="5" min="5" style="0" width="10"/>
    <col collapsed="false" customWidth="true" hidden="false" outlineLevel="0" max="6" min="6" style="0" width="16"/>
    <col collapsed="false" customWidth="true" hidden="false" outlineLevel="0" max="7" min="7" style="0" width="8"/>
    <col collapsed="false" customWidth="true" hidden="false" outlineLevel="0" max="8" min="8" style="0" width="14"/>
    <col collapsed="false" customWidth="true" hidden="false" outlineLevel="0" max="9" min="9" style="0" width="34"/>
  </cols>
  <sheetData>
    <row r="1" customFormat="false" ht="15" hidden="false" customHeight="false" outlineLevel="0" collapsed="false">
      <c r="A1" s="11" t="s">
        <v>127</v>
      </c>
    </row>
    <row r="2" customFormat="false" ht="25.5" hidden="false" customHeight="true" outlineLevel="0" collapsed="false">
      <c r="A2" s="12" t="s">
        <v>128</v>
      </c>
      <c r="B2" s="12"/>
      <c r="C2" s="12"/>
      <c r="D2" s="12"/>
      <c r="E2" s="12"/>
      <c r="F2" s="12"/>
      <c r="G2" s="12"/>
      <c r="H2" s="12"/>
      <c r="I2" s="12"/>
    </row>
    <row r="5" customFormat="false" ht="15" hidden="false" customHeight="false" outlineLevel="0" collapsed="false">
      <c r="A5" s="13" t="s">
        <v>129</v>
      </c>
    </row>
    <row r="6" customFormat="false" ht="22.35" hidden="false" customHeight="false" outlineLevel="0" collapsed="false">
      <c r="A6" s="7" t="s">
        <v>130</v>
      </c>
    </row>
    <row r="7" customFormat="false" ht="22.35" hidden="false" customHeight="false" outlineLevel="0" collapsed="false">
      <c r="A7" s="7" t="s">
        <v>131</v>
      </c>
    </row>
    <row r="8" customFormat="false" ht="22.35" hidden="false" customHeight="false" outlineLevel="0" collapsed="false">
      <c r="A8" s="14" t="s">
        <v>132</v>
      </c>
      <c r="B8" s="14" t="s">
        <v>133</v>
      </c>
      <c r="C8" s="14" t="s">
        <v>134</v>
      </c>
      <c r="D8" s="14" t="s">
        <v>135</v>
      </c>
      <c r="E8" s="14" t="s">
        <v>136</v>
      </c>
      <c r="F8" s="14" t="s">
        <v>137</v>
      </c>
      <c r="G8" s="14" t="s">
        <v>138</v>
      </c>
      <c r="H8" s="14" t="s">
        <v>139</v>
      </c>
      <c r="I8" s="14" t="s">
        <v>140</v>
      </c>
    </row>
    <row r="9" customFormat="false" ht="15" hidden="false" customHeight="false" outlineLevel="0" collapsed="false">
      <c r="A9" s="7" t="s">
        <v>141</v>
      </c>
      <c r="B9" s="7" t="s">
        <v>142</v>
      </c>
      <c r="I9" s="7" t="s">
        <v>143</v>
      </c>
    </row>
    <row r="10" customFormat="false" ht="15" hidden="false" customHeight="false" outlineLevel="0" collapsed="false">
      <c r="A10" s="7" t="s">
        <v>144</v>
      </c>
      <c r="B10" s="7" t="s">
        <v>145</v>
      </c>
      <c r="I10" s="7" t="s">
        <v>143</v>
      </c>
    </row>
    <row r="12" customFormat="false" ht="15" hidden="false" customHeight="false" outlineLevel="0" collapsed="false">
      <c r="A12" s="13" t="s">
        <v>146</v>
      </c>
    </row>
    <row r="13" customFormat="false" ht="22.35" hidden="false" customHeight="false" outlineLevel="0" collapsed="false">
      <c r="A13" s="7" t="s">
        <v>147</v>
      </c>
    </row>
    <row r="14" customFormat="false" ht="22.35" hidden="false" customHeight="false" outlineLevel="0" collapsed="false">
      <c r="A14" s="7" t="s">
        <v>131</v>
      </c>
    </row>
    <row r="15" customFormat="false" ht="22.35" hidden="false" customHeight="false" outlineLevel="0" collapsed="false">
      <c r="A15" s="14" t="s">
        <v>132</v>
      </c>
      <c r="B15" s="14" t="s">
        <v>133</v>
      </c>
      <c r="C15" s="14" t="s">
        <v>134</v>
      </c>
      <c r="D15" s="14" t="s">
        <v>135</v>
      </c>
      <c r="E15" s="14" t="s">
        <v>136</v>
      </c>
      <c r="F15" s="14" t="s">
        <v>137</v>
      </c>
      <c r="G15" s="14" t="s">
        <v>138</v>
      </c>
      <c r="H15" s="14" t="s">
        <v>139</v>
      </c>
      <c r="I15" s="14" t="s">
        <v>140</v>
      </c>
    </row>
    <row r="16" customFormat="false" ht="22.35" hidden="false" customHeight="false" outlineLevel="0" collapsed="false">
      <c r="A16" s="7" t="s">
        <v>148</v>
      </c>
      <c r="B16" s="7" t="s">
        <v>149</v>
      </c>
      <c r="D16" s="7" t="s">
        <v>150</v>
      </c>
      <c r="E16" s="7" t="s">
        <v>151</v>
      </c>
      <c r="F16" s="7" t="s">
        <v>152</v>
      </c>
      <c r="G16" s="7" t="s">
        <v>153</v>
      </c>
      <c r="H16" s="7" t="s">
        <v>154</v>
      </c>
      <c r="I16" s="7" t="s">
        <v>155</v>
      </c>
    </row>
    <row r="17" customFormat="false" ht="22.35" hidden="false" customHeight="false" outlineLevel="0" collapsed="false">
      <c r="A17" s="7" t="s">
        <v>156</v>
      </c>
      <c r="B17" s="7" t="s">
        <v>157</v>
      </c>
      <c r="C17" s="7" t="s">
        <v>158</v>
      </c>
      <c r="D17" s="7" t="s">
        <v>159</v>
      </c>
      <c r="E17" s="7" t="s">
        <v>160</v>
      </c>
      <c r="F17" s="7" t="s">
        <v>161</v>
      </c>
      <c r="G17" s="7" t="s">
        <v>162</v>
      </c>
      <c r="H17" s="7" t="s">
        <v>154</v>
      </c>
    </row>
    <row r="18" customFormat="false" ht="15" hidden="false" customHeight="false" outlineLevel="0" collapsed="false">
      <c r="A18" s="7" t="s">
        <v>144</v>
      </c>
      <c r="B18" s="7" t="s">
        <v>163</v>
      </c>
    </row>
    <row r="20" customFormat="false" ht="15" hidden="false" customHeight="false" outlineLevel="0" collapsed="false">
      <c r="A20" s="13" t="s">
        <v>164</v>
      </c>
    </row>
    <row r="21" customFormat="false" ht="22.35" hidden="false" customHeight="false" outlineLevel="0" collapsed="false">
      <c r="A21" s="7" t="s">
        <v>165</v>
      </c>
    </row>
    <row r="22" customFormat="false" ht="22.35" hidden="false" customHeight="false" outlineLevel="0" collapsed="false">
      <c r="A22" s="7" t="s">
        <v>131</v>
      </c>
    </row>
    <row r="23" customFormat="false" ht="22.35" hidden="false" customHeight="false" outlineLevel="0" collapsed="false">
      <c r="A23" s="14" t="s">
        <v>132</v>
      </c>
      <c r="B23" s="14" t="s">
        <v>133</v>
      </c>
      <c r="C23" s="14" t="s">
        <v>134</v>
      </c>
      <c r="D23" s="14" t="s">
        <v>135</v>
      </c>
      <c r="E23" s="14" t="s">
        <v>136</v>
      </c>
      <c r="F23" s="14" t="s">
        <v>137</v>
      </c>
      <c r="G23" s="14" t="s">
        <v>138</v>
      </c>
      <c r="H23" s="14" t="s">
        <v>139</v>
      </c>
      <c r="I23" s="14" t="s">
        <v>140</v>
      </c>
    </row>
    <row r="24" customFormat="false" ht="22.35" hidden="false" customHeight="false" outlineLevel="0" collapsed="false">
      <c r="A24" s="7" t="s">
        <v>166</v>
      </c>
      <c r="B24" s="7" t="s">
        <v>167</v>
      </c>
      <c r="D24" s="7" t="s">
        <v>168</v>
      </c>
      <c r="F24" s="7" t="s">
        <v>169</v>
      </c>
      <c r="I24" s="7" t="s">
        <v>170</v>
      </c>
    </row>
    <row r="25" customFormat="false" ht="15" hidden="false" customHeight="false" outlineLevel="0" collapsed="false">
      <c r="A25" s="7" t="s">
        <v>171</v>
      </c>
      <c r="B25" s="7" t="s">
        <v>172</v>
      </c>
      <c r="D25" s="7" t="s">
        <v>173</v>
      </c>
      <c r="E25" s="7" t="s">
        <v>174</v>
      </c>
      <c r="F25" s="7" t="s">
        <v>175</v>
      </c>
      <c r="H25" s="7" t="s">
        <v>154</v>
      </c>
    </row>
    <row r="27" customFormat="false" ht="15" hidden="false" customHeight="false" outlineLevel="0" collapsed="false">
      <c r="A27" s="13" t="s">
        <v>176</v>
      </c>
    </row>
    <row r="28" customFormat="false" ht="15" hidden="false" customHeight="false" outlineLevel="0" collapsed="false">
      <c r="A28" s="7" t="s">
        <v>177</v>
      </c>
    </row>
    <row r="29" customFormat="false" ht="22.35" hidden="false" customHeight="false" outlineLevel="0" collapsed="false">
      <c r="A29" s="7" t="s">
        <v>131</v>
      </c>
    </row>
    <row r="30" customFormat="false" ht="22.35" hidden="false" customHeight="false" outlineLevel="0" collapsed="false">
      <c r="A30" s="14" t="s">
        <v>132</v>
      </c>
      <c r="B30" s="14" t="s">
        <v>133</v>
      </c>
      <c r="C30" s="14" t="s">
        <v>134</v>
      </c>
      <c r="D30" s="14" t="s">
        <v>135</v>
      </c>
      <c r="E30" s="14" t="s">
        <v>136</v>
      </c>
      <c r="F30" s="14" t="s">
        <v>137</v>
      </c>
      <c r="G30" s="14" t="s">
        <v>138</v>
      </c>
      <c r="H30" s="14" t="s">
        <v>139</v>
      </c>
      <c r="I30" s="14" t="s">
        <v>140</v>
      </c>
    </row>
    <row r="32" customFormat="false" ht="15" hidden="false" customHeight="false" outlineLevel="0" collapsed="false">
      <c r="A32" s="13" t="s">
        <v>178</v>
      </c>
    </row>
    <row r="33" customFormat="false" ht="22.35" hidden="false" customHeight="false" outlineLevel="0" collapsed="false">
      <c r="A33" s="7" t="s">
        <v>179</v>
      </c>
    </row>
    <row r="34" customFormat="false" ht="22.35" hidden="false" customHeight="false" outlineLevel="0" collapsed="false">
      <c r="A34" s="7" t="s">
        <v>131</v>
      </c>
    </row>
    <row r="35" customFormat="false" ht="22.35" hidden="false" customHeight="false" outlineLevel="0" collapsed="false">
      <c r="A35" s="14" t="s">
        <v>132</v>
      </c>
      <c r="B35" s="14" t="s">
        <v>133</v>
      </c>
      <c r="C35" s="14" t="s">
        <v>134</v>
      </c>
      <c r="D35" s="14" t="s">
        <v>135</v>
      </c>
      <c r="E35" s="14" t="s">
        <v>136</v>
      </c>
      <c r="F35" s="14" t="s">
        <v>137</v>
      </c>
      <c r="G35" s="14" t="s">
        <v>138</v>
      </c>
      <c r="H35" s="14" t="s">
        <v>139</v>
      </c>
      <c r="I35" s="14" t="s">
        <v>140</v>
      </c>
    </row>
    <row r="36" customFormat="false" ht="22.35" hidden="false" customHeight="false" outlineLevel="0" collapsed="false">
      <c r="A36" s="7" t="s">
        <v>180</v>
      </c>
      <c r="B36" s="7" t="s">
        <v>181</v>
      </c>
      <c r="C36" s="15" t="n">
        <v>45371</v>
      </c>
      <c r="D36" s="7" t="s">
        <v>182</v>
      </c>
      <c r="E36" s="7" t="s">
        <v>183</v>
      </c>
      <c r="F36" s="7" t="s">
        <v>184</v>
      </c>
    </row>
    <row r="37" customFormat="false" ht="22.35" hidden="false" customHeight="false" outlineLevel="0" collapsed="false">
      <c r="A37" s="7" t="s">
        <v>185</v>
      </c>
      <c r="B37" s="7" t="s">
        <v>186</v>
      </c>
      <c r="C37" s="15" t="n">
        <v>43191</v>
      </c>
      <c r="D37" s="7" t="n">
        <v>2000000</v>
      </c>
      <c r="F37" s="7" t="s">
        <v>187</v>
      </c>
      <c r="I37" s="7" t="s">
        <v>188</v>
      </c>
    </row>
    <row r="38" customFormat="false" ht="15" hidden="false" customHeight="false" outlineLevel="0" collapsed="false">
      <c r="A38" s="7" t="s">
        <v>189</v>
      </c>
      <c r="B38" s="7" t="s">
        <v>190</v>
      </c>
      <c r="I38" s="7" t="s">
        <v>191</v>
      </c>
    </row>
    <row r="39" customFormat="false" ht="22.35" hidden="false" customHeight="false" outlineLevel="0" collapsed="false">
      <c r="A39" s="7" t="s">
        <v>192</v>
      </c>
      <c r="B39" s="7" t="s">
        <v>193</v>
      </c>
      <c r="C39" s="15" t="n">
        <v>45482</v>
      </c>
      <c r="D39" s="7" t="n">
        <v>2000000</v>
      </c>
      <c r="F39" s="7" t="s">
        <v>194</v>
      </c>
      <c r="I39" s="7" t="s">
        <v>188</v>
      </c>
    </row>
    <row r="41" customFormat="false" ht="15" hidden="false" customHeight="false" outlineLevel="0" collapsed="false">
      <c r="A41" s="13" t="s">
        <v>195</v>
      </c>
    </row>
    <row r="42" customFormat="false" ht="22.35" hidden="false" customHeight="false" outlineLevel="0" collapsed="false">
      <c r="A42" s="7" t="s">
        <v>196</v>
      </c>
    </row>
    <row r="43" customFormat="false" ht="22.35" hidden="false" customHeight="false" outlineLevel="0" collapsed="false">
      <c r="A43" s="7" t="s">
        <v>131</v>
      </c>
    </row>
    <row r="44" customFormat="false" ht="22.35" hidden="false" customHeight="false" outlineLevel="0" collapsed="false">
      <c r="A44" s="14" t="s">
        <v>132</v>
      </c>
      <c r="B44" s="14" t="s">
        <v>133</v>
      </c>
      <c r="C44" s="14" t="s">
        <v>134</v>
      </c>
      <c r="D44" s="14" t="s">
        <v>135</v>
      </c>
      <c r="E44" s="14" t="s">
        <v>136</v>
      </c>
      <c r="F44" s="14" t="s">
        <v>137</v>
      </c>
      <c r="G44" s="14" t="s">
        <v>138</v>
      </c>
      <c r="H44" s="14" t="s">
        <v>139</v>
      </c>
      <c r="I44" s="14" t="s">
        <v>140</v>
      </c>
    </row>
    <row r="45" customFormat="false" ht="15" hidden="false" customHeight="false" outlineLevel="0" collapsed="false">
      <c r="A45" s="7" t="s">
        <v>197</v>
      </c>
      <c r="B45" s="7" t="s">
        <v>198</v>
      </c>
      <c r="I45" s="7" t="s">
        <v>199</v>
      </c>
    </row>
    <row r="46" customFormat="false" ht="22.35" hidden="false" customHeight="false" outlineLevel="0" collapsed="false">
      <c r="A46" s="7" t="s">
        <v>200</v>
      </c>
      <c r="B46" s="7" t="s">
        <v>201</v>
      </c>
      <c r="C46" s="15" t="n">
        <v>45749</v>
      </c>
      <c r="D46" s="7" t="n">
        <v>150000</v>
      </c>
      <c r="E46" s="7" t="s">
        <v>183</v>
      </c>
      <c r="F46" s="7" t="s">
        <v>202</v>
      </c>
    </row>
    <row r="48" customFormat="false" ht="15" hidden="false" customHeight="false" outlineLevel="0" collapsed="false">
      <c r="A48" s="13" t="s">
        <v>203</v>
      </c>
    </row>
    <row r="49" customFormat="false" ht="22.35" hidden="false" customHeight="false" outlineLevel="0" collapsed="false">
      <c r="A49" s="7" t="s">
        <v>204</v>
      </c>
    </row>
    <row r="50" customFormat="false" ht="22.35" hidden="false" customHeight="false" outlineLevel="0" collapsed="false">
      <c r="A50" s="7" t="s">
        <v>131</v>
      </c>
    </row>
    <row r="51" customFormat="false" ht="22.35" hidden="false" customHeight="false" outlineLevel="0" collapsed="false">
      <c r="A51" s="14" t="s">
        <v>132</v>
      </c>
      <c r="B51" s="14" t="s">
        <v>133</v>
      </c>
      <c r="C51" s="14" t="s">
        <v>134</v>
      </c>
      <c r="D51" s="14" t="s">
        <v>135</v>
      </c>
      <c r="E51" s="14" t="s">
        <v>136</v>
      </c>
      <c r="F51" s="14" t="s">
        <v>137</v>
      </c>
      <c r="G51" s="14" t="s">
        <v>138</v>
      </c>
      <c r="H51" s="14" t="s">
        <v>139</v>
      </c>
      <c r="I51" s="14" t="s">
        <v>140</v>
      </c>
    </row>
    <row r="52" customFormat="false" ht="15" hidden="false" customHeight="false" outlineLevel="0" collapsed="false">
      <c r="A52" s="7" t="s">
        <v>205</v>
      </c>
      <c r="B52" s="7" t="s">
        <v>206</v>
      </c>
      <c r="C52" s="7" t="s">
        <v>207</v>
      </c>
      <c r="D52" s="7" t="s">
        <v>208</v>
      </c>
      <c r="E52" s="7" t="s">
        <v>174</v>
      </c>
      <c r="F52" s="7" t="s">
        <v>175</v>
      </c>
      <c r="H52" s="7" t="s">
        <v>154</v>
      </c>
    </row>
    <row r="53" customFormat="false" ht="15" hidden="false" customHeight="false" outlineLevel="0" collapsed="false">
      <c r="A53" s="7" t="s">
        <v>209</v>
      </c>
      <c r="B53" s="7" t="s">
        <v>210</v>
      </c>
      <c r="D53" s="7" t="s">
        <v>211</v>
      </c>
      <c r="F53" s="7" t="s">
        <v>212</v>
      </c>
    </row>
    <row r="54" customFormat="false" ht="15" hidden="false" customHeight="false" outlineLevel="0" collapsed="false">
      <c r="A54" s="7" t="s">
        <v>213</v>
      </c>
      <c r="B54" s="7" t="s">
        <v>210</v>
      </c>
      <c r="D54" s="7" t="s">
        <v>214</v>
      </c>
      <c r="F54" s="7" t="s">
        <v>215</v>
      </c>
      <c r="I54" s="7" t="s">
        <v>216</v>
      </c>
    </row>
    <row r="55" customFormat="false" ht="22.35" hidden="false" customHeight="false" outlineLevel="0" collapsed="false">
      <c r="A55" s="7" t="s">
        <v>144</v>
      </c>
      <c r="B55" s="7" t="s">
        <v>210</v>
      </c>
      <c r="D55" s="7" t="s">
        <v>217</v>
      </c>
      <c r="E55" s="7" t="s">
        <v>174</v>
      </c>
      <c r="H55" s="7" t="s">
        <v>154</v>
      </c>
      <c r="I55" s="7" t="s">
        <v>218</v>
      </c>
    </row>
    <row r="56" customFormat="false" ht="22.35" hidden="false" customHeight="false" outlineLevel="0" collapsed="false">
      <c r="A56" s="7" t="s">
        <v>219</v>
      </c>
      <c r="B56" s="7" t="s">
        <v>220</v>
      </c>
      <c r="C56" s="15" t="n">
        <v>45809</v>
      </c>
      <c r="D56" s="7" t="s">
        <v>221</v>
      </c>
      <c r="E56" s="7" t="s">
        <v>183</v>
      </c>
      <c r="F56" s="7" t="s">
        <v>222</v>
      </c>
    </row>
    <row r="58" customFormat="false" ht="15" hidden="false" customHeight="false" outlineLevel="0" collapsed="false">
      <c r="A58" s="13" t="s">
        <v>223</v>
      </c>
    </row>
    <row r="59" customFormat="false" ht="22.35" hidden="false" customHeight="false" outlineLevel="0" collapsed="false">
      <c r="A59" s="7" t="s">
        <v>224</v>
      </c>
    </row>
    <row r="60" customFormat="false" ht="22.35" hidden="false" customHeight="false" outlineLevel="0" collapsed="false">
      <c r="A60" s="7" t="s">
        <v>131</v>
      </c>
    </row>
    <row r="61" customFormat="false" ht="22.35" hidden="false" customHeight="false" outlineLevel="0" collapsed="false">
      <c r="A61" s="14" t="s">
        <v>132</v>
      </c>
      <c r="B61" s="14" t="s">
        <v>133</v>
      </c>
      <c r="C61" s="14" t="s">
        <v>134</v>
      </c>
      <c r="D61" s="14" t="s">
        <v>135</v>
      </c>
      <c r="E61" s="14" t="s">
        <v>136</v>
      </c>
      <c r="F61" s="14" t="s">
        <v>137</v>
      </c>
      <c r="G61" s="14" t="s">
        <v>138</v>
      </c>
      <c r="H61" s="14" t="s">
        <v>139</v>
      </c>
      <c r="I61" s="14" t="s">
        <v>140</v>
      </c>
    </row>
    <row r="62" customFormat="false" ht="15" hidden="false" customHeight="false" outlineLevel="0" collapsed="false">
      <c r="A62" s="7" t="s">
        <v>225</v>
      </c>
      <c r="B62" s="7" t="s">
        <v>226</v>
      </c>
      <c r="I62" s="7" t="s">
        <v>199</v>
      </c>
    </row>
    <row r="63" customFormat="false" ht="15" hidden="false" customHeight="false" outlineLevel="0" collapsed="false">
      <c r="A63" s="7" t="s">
        <v>227</v>
      </c>
      <c r="B63" s="7" t="s">
        <v>228</v>
      </c>
      <c r="I63" s="7" t="s">
        <v>199</v>
      </c>
    </row>
    <row r="64" customFormat="false" ht="15" hidden="false" customHeight="false" outlineLevel="0" collapsed="false">
      <c r="A64" s="7" t="s">
        <v>229</v>
      </c>
      <c r="B64" s="7" t="s">
        <v>228</v>
      </c>
      <c r="I64" s="7" t="s">
        <v>199</v>
      </c>
    </row>
    <row r="66" customFormat="false" ht="15" hidden="false" customHeight="false" outlineLevel="0" collapsed="false">
      <c r="A66" s="13" t="s">
        <v>230</v>
      </c>
    </row>
    <row r="67" customFormat="false" ht="22.35" hidden="false" customHeight="false" outlineLevel="0" collapsed="false">
      <c r="A67" s="7" t="s">
        <v>231</v>
      </c>
    </row>
    <row r="68" customFormat="false" ht="22.35" hidden="false" customHeight="false" outlineLevel="0" collapsed="false">
      <c r="A68" s="7" t="s">
        <v>131</v>
      </c>
    </row>
    <row r="69" customFormat="false" ht="22.35" hidden="false" customHeight="false" outlineLevel="0" collapsed="false">
      <c r="A69" s="14" t="s">
        <v>132</v>
      </c>
      <c r="B69" s="14" t="s">
        <v>133</v>
      </c>
      <c r="C69" s="14" t="s">
        <v>134</v>
      </c>
      <c r="D69" s="14" t="s">
        <v>135</v>
      </c>
      <c r="E69" s="14" t="s">
        <v>136</v>
      </c>
      <c r="F69" s="14" t="s">
        <v>137</v>
      </c>
      <c r="G69" s="14" t="s">
        <v>138</v>
      </c>
      <c r="H69" s="14" t="s">
        <v>139</v>
      </c>
      <c r="I69" s="14" t="s">
        <v>140</v>
      </c>
    </row>
    <row r="70" customFormat="false" ht="15" hidden="false" customHeight="false" outlineLevel="0" collapsed="false">
      <c r="A70" s="7" t="s">
        <v>232</v>
      </c>
      <c r="B70" s="7" t="s">
        <v>233</v>
      </c>
      <c r="C70" s="7" t="n">
        <v>2026</v>
      </c>
      <c r="D70" s="7" t="s">
        <v>234</v>
      </c>
      <c r="E70" s="7" t="s">
        <v>174</v>
      </c>
      <c r="F70" s="7" t="s">
        <v>235</v>
      </c>
      <c r="G70" s="7" t="s">
        <v>236</v>
      </c>
      <c r="H70" s="7" t="s">
        <v>154</v>
      </c>
    </row>
    <row r="71" customFormat="false" ht="15" hidden="false" customHeight="false" outlineLevel="0" collapsed="false">
      <c r="A71" s="7" t="s">
        <v>237</v>
      </c>
      <c r="B71" s="7" t="s">
        <v>238</v>
      </c>
      <c r="C71" s="7" t="n">
        <v>2026</v>
      </c>
      <c r="D71" s="7" t="s">
        <v>239</v>
      </c>
      <c r="E71" s="7" t="s">
        <v>174</v>
      </c>
      <c r="F71" s="7" t="s">
        <v>240</v>
      </c>
      <c r="G71" s="7" t="s">
        <v>236</v>
      </c>
      <c r="H71" s="7" t="s">
        <v>154</v>
      </c>
    </row>
    <row r="72" customFormat="false" ht="15" hidden="false" customHeight="false" outlineLevel="0" collapsed="false">
      <c r="A72" s="7" t="s">
        <v>241</v>
      </c>
      <c r="B72" s="7" t="s">
        <v>242</v>
      </c>
      <c r="C72" s="7" t="n">
        <v>2026</v>
      </c>
      <c r="D72" s="7" t="n">
        <v>185000</v>
      </c>
      <c r="E72" s="7" t="s">
        <v>174</v>
      </c>
      <c r="F72" s="7" t="s">
        <v>243</v>
      </c>
      <c r="G72" s="7" t="s">
        <v>236</v>
      </c>
      <c r="H72" s="7" t="s">
        <v>154</v>
      </c>
      <c r="I72" s="7" t="s">
        <v>244</v>
      </c>
    </row>
    <row r="74" customFormat="false" ht="15" hidden="false" customHeight="false" outlineLevel="0" collapsed="false">
      <c r="A74" s="13" t="s">
        <v>245</v>
      </c>
    </row>
    <row r="75" customFormat="false" ht="22.35" hidden="false" customHeight="false" outlineLevel="0" collapsed="false">
      <c r="A75" s="7" t="s">
        <v>246</v>
      </c>
    </row>
    <row r="76" customFormat="false" ht="22.35" hidden="false" customHeight="false" outlineLevel="0" collapsed="false">
      <c r="A76" s="7" t="s">
        <v>131</v>
      </c>
    </row>
    <row r="77" customFormat="false" ht="22.35" hidden="false" customHeight="false" outlineLevel="0" collapsed="false">
      <c r="A77" s="14" t="s">
        <v>132</v>
      </c>
      <c r="B77" s="14" t="s">
        <v>133</v>
      </c>
      <c r="C77" s="14" t="s">
        <v>134</v>
      </c>
      <c r="D77" s="14" t="s">
        <v>135</v>
      </c>
      <c r="E77" s="14" t="s">
        <v>136</v>
      </c>
      <c r="F77" s="14" t="s">
        <v>137</v>
      </c>
      <c r="G77" s="14" t="s">
        <v>138</v>
      </c>
      <c r="H77" s="14" t="s">
        <v>139</v>
      </c>
      <c r="I77" s="14" t="s">
        <v>140</v>
      </c>
    </row>
    <row r="78" customFormat="false" ht="22.35" hidden="false" customHeight="false" outlineLevel="0" collapsed="false">
      <c r="B78" s="7" t="s">
        <v>247</v>
      </c>
      <c r="C78" s="15" t="n">
        <v>45352</v>
      </c>
    </row>
    <row r="80" customFormat="false" ht="15" hidden="false" customHeight="false" outlineLevel="0" collapsed="false">
      <c r="A80" s="13" t="s">
        <v>248</v>
      </c>
    </row>
    <row r="81" customFormat="false" ht="15" hidden="false" customHeight="false" outlineLevel="0" collapsed="false">
      <c r="A81" s="7" t="s">
        <v>249</v>
      </c>
    </row>
    <row r="82" customFormat="false" ht="22.35" hidden="false" customHeight="false" outlineLevel="0" collapsed="false">
      <c r="A82" s="7" t="s">
        <v>131</v>
      </c>
    </row>
    <row r="83" customFormat="false" ht="22.35" hidden="false" customHeight="false" outlineLevel="0" collapsed="false">
      <c r="A83" s="14" t="s">
        <v>132</v>
      </c>
      <c r="B83" s="14" t="s">
        <v>133</v>
      </c>
      <c r="C83" s="14" t="s">
        <v>134</v>
      </c>
      <c r="D83" s="14" t="s">
        <v>135</v>
      </c>
      <c r="E83" s="14" t="s">
        <v>136</v>
      </c>
      <c r="F83" s="14" t="s">
        <v>137</v>
      </c>
      <c r="G83" s="14" t="s">
        <v>138</v>
      </c>
      <c r="H83" s="14" t="s">
        <v>139</v>
      </c>
      <c r="I83" s="14" t="s">
        <v>140</v>
      </c>
    </row>
  </sheetData>
  <mergeCells count="1">
    <mergeCell ref="A2:I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T10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6"/>
    <col collapsed="false" customWidth="true" hidden="false" outlineLevel="0" max="2" min="2" style="0" width="22"/>
    <col collapsed="false" customWidth="true" hidden="false" outlineLevel="0" max="3" min="3" style="0" width="11"/>
    <col collapsed="false" customWidth="true" hidden="false" outlineLevel="0" max="4" min="4" style="0" width="14"/>
    <col collapsed="false" customWidth="true" hidden="false" outlineLevel="0" max="6" min="5" style="0" width="12"/>
    <col collapsed="false" customWidth="true" hidden="false" outlineLevel="0" max="7" min="7" style="0" width="14"/>
    <col collapsed="false" customWidth="true" hidden="false" outlineLevel="0" max="9" min="8" style="0" width="13"/>
    <col collapsed="false" customWidth="true" hidden="false" outlineLevel="0" max="10" min="10" style="0" width="26"/>
  </cols>
  <sheetData>
    <row r="1" customFormat="false" ht="16.15" hidden="false" customHeight="false" outlineLevel="0" collapsed="false">
      <c r="A1" s="3" t="s">
        <v>1008</v>
      </c>
    </row>
    <row r="2" customFormat="false" ht="25.5" hidden="false" customHeight="true" outlineLevel="0" collapsed="false">
      <c r="A2" s="12" t="s">
        <v>251</v>
      </c>
      <c r="B2" s="12"/>
      <c r="C2" s="12"/>
      <c r="D2" s="12"/>
      <c r="E2" s="12"/>
      <c r="F2" s="12"/>
      <c r="G2" s="12"/>
      <c r="H2" s="12"/>
      <c r="I2" s="12"/>
      <c r="J2" s="12"/>
    </row>
    <row r="3" customFormat="false" ht="15" hidden="false" customHeight="true" outlineLevel="0" collapsed="false">
      <c r="A3" s="16" t="s">
        <v>1009</v>
      </c>
      <c r="B3" s="16"/>
      <c r="C3" s="16"/>
      <c r="D3" s="16"/>
      <c r="E3" s="16"/>
      <c r="F3" s="16"/>
      <c r="G3" s="16"/>
      <c r="H3" s="16"/>
      <c r="I3" s="16"/>
      <c r="J3" s="16"/>
    </row>
    <row r="4" customFormat="false" ht="30" hidden="false" customHeight="true" outlineLevel="0" collapsed="false">
      <c r="A4" s="17" t="s">
        <v>125</v>
      </c>
      <c r="B4" s="17"/>
      <c r="C4" s="17"/>
      <c r="D4" s="17"/>
      <c r="E4" s="17"/>
      <c r="F4" s="17"/>
      <c r="G4" s="17"/>
      <c r="H4" s="17"/>
      <c r="I4" s="17"/>
      <c r="J4" s="17"/>
    </row>
    <row r="5" customFormat="false" ht="15" hidden="false" customHeight="true" outlineLevel="0" collapsed="false">
      <c r="A5" s="18" t="s">
        <v>17</v>
      </c>
      <c r="B5" s="18"/>
      <c r="C5" s="18"/>
      <c r="D5" s="18"/>
      <c r="E5" s="18"/>
      <c r="F5" s="18"/>
      <c r="G5" s="18"/>
      <c r="H5" s="18"/>
      <c r="I5" s="18"/>
      <c r="J5" s="18"/>
    </row>
    <row r="6" customFormat="false" ht="15" hidden="false" customHeight="true" outlineLevel="0" collapsed="false">
      <c r="A6" s="19" t="s">
        <v>126</v>
      </c>
      <c r="B6" s="19"/>
      <c r="C6" s="19"/>
      <c r="D6" s="19"/>
      <c r="E6" s="19"/>
      <c r="F6" s="19"/>
      <c r="G6" s="19"/>
      <c r="H6" s="19"/>
      <c r="I6" s="19"/>
      <c r="J6" s="19"/>
    </row>
    <row r="7" customFormat="false" ht="23.85" hidden="false" customHeight="true" outlineLevel="0" collapsed="false">
      <c r="A7" s="20" t="s">
        <v>1010</v>
      </c>
      <c r="B7" s="20"/>
      <c r="C7" s="20"/>
      <c r="D7" s="20"/>
      <c r="E7" s="20"/>
      <c r="F7" s="20"/>
      <c r="G7" s="20"/>
      <c r="H7" s="20"/>
      <c r="I7" s="20"/>
      <c r="J7" s="20"/>
    </row>
    <row r="8" customFormat="false" ht="15" hidden="false" customHeight="true" outlineLevel="0" collapsed="false">
      <c r="A8" s="21" t="s">
        <v>254</v>
      </c>
      <c r="B8" s="21"/>
      <c r="C8" s="21"/>
      <c r="D8" s="21"/>
      <c r="E8" s="21"/>
      <c r="F8" s="21"/>
      <c r="G8" s="21"/>
      <c r="H8" s="21"/>
      <c r="I8" s="21"/>
      <c r="J8" s="21"/>
    </row>
    <row r="10" customFormat="false" ht="15" hidden="false" customHeight="true" outlineLevel="0" collapsed="false">
      <c r="A10" s="22" t="s">
        <v>255</v>
      </c>
      <c r="B10" s="22"/>
      <c r="C10" s="22"/>
      <c r="D10" s="23" t="s">
        <v>1011</v>
      </c>
      <c r="E10" s="23"/>
      <c r="F10" s="23"/>
      <c r="G10" s="23"/>
      <c r="H10" s="23"/>
      <c r="I10" s="23"/>
      <c r="J10" s="23"/>
    </row>
    <row r="11" customFormat="false" ht="15" hidden="false" customHeight="true" outlineLevel="0" collapsed="false">
      <c r="A11" s="22" t="s">
        <v>257</v>
      </c>
      <c r="B11" s="22"/>
      <c r="C11" s="22"/>
      <c r="D11" s="86"/>
      <c r="E11" s="86"/>
      <c r="F11" s="86"/>
      <c r="G11" s="86"/>
      <c r="H11" s="86"/>
      <c r="I11" s="86"/>
      <c r="J11" s="86"/>
    </row>
    <row r="12" customFormat="false" ht="15" hidden="false" customHeight="true" outlineLevel="0" collapsed="false">
      <c r="A12" s="22" t="s">
        <v>259</v>
      </c>
      <c r="B12" s="22"/>
      <c r="C12" s="22"/>
      <c r="D12" s="86"/>
      <c r="E12" s="86"/>
      <c r="F12" s="86"/>
      <c r="G12" s="86"/>
      <c r="H12" s="86"/>
      <c r="I12" s="86"/>
      <c r="J12" s="86"/>
    </row>
    <row r="13" customFormat="false" ht="15" hidden="false" customHeight="true" outlineLevel="0" collapsed="false">
      <c r="A13" s="22" t="s">
        <v>261</v>
      </c>
      <c r="B13" s="22"/>
      <c r="C13" s="22"/>
      <c r="D13" s="24" t="n">
        <v>2405164.68</v>
      </c>
      <c r="E13" s="24"/>
      <c r="F13" s="24"/>
      <c r="G13" s="24"/>
      <c r="H13" s="24"/>
      <c r="I13" s="24"/>
      <c r="J13" s="24"/>
    </row>
    <row r="14" customFormat="false" ht="46.25" hidden="false" customHeight="true" outlineLevel="0" collapsed="false">
      <c r="A14" s="22" t="s">
        <v>262</v>
      </c>
      <c r="B14" s="22"/>
      <c r="C14" s="22"/>
      <c r="D14" s="22" t="s">
        <v>1012</v>
      </c>
      <c r="E14" s="22"/>
      <c r="F14" s="22"/>
      <c r="G14" s="22"/>
      <c r="H14" s="22"/>
      <c r="I14" s="22"/>
      <c r="J14" s="22"/>
    </row>
    <row r="16" customFormat="false" ht="15" hidden="false" customHeight="false" outlineLevel="0" collapsed="false">
      <c r="A16" s="25" t="s">
        <v>264</v>
      </c>
    </row>
    <row r="17" customFormat="false" ht="22.35" hidden="false" customHeight="true" outlineLevel="0" collapsed="false">
      <c r="A17" s="26" t="s">
        <v>265</v>
      </c>
      <c r="B17" s="26" t="s">
        <v>266</v>
      </c>
      <c r="C17" s="26" t="s">
        <v>267</v>
      </c>
      <c r="D17" s="26" t="s">
        <v>268</v>
      </c>
      <c r="E17" s="26" t="s">
        <v>269</v>
      </c>
      <c r="F17" s="26" t="s">
        <v>270</v>
      </c>
      <c r="G17" s="26" t="s">
        <v>271</v>
      </c>
      <c r="H17" s="26"/>
      <c r="I17" s="26"/>
      <c r="J17" s="26"/>
    </row>
    <row r="18" customFormat="false" ht="23.85" hidden="false" customHeight="true" outlineLevel="0" collapsed="false">
      <c r="A18" s="27" t="s">
        <v>951</v>
      </c>
      <c r="B18" s="28" t="s">
        <v>404</v>
      </c>
      <c r="C18" s="28" t="s">
        <v>952</v>
      </c>
      <c r="D18" s="80" t="n">
        <v>10003.59</v>
      </c>
      <c r="E18" s="30" t="n">
        <f aca="false">IF(D18="","",D18*12)</f>
        <v>120043.08</v>
      </c>
      <c r="F18" s="31" t="n">
        <v>9.4</v>
      </c>
      <c r="G18" s="32" t="s">
        <v>1013</v>
      </c>
      <c r="H18" s="32"/>
      <c r="I18" s="32"/>
      <c r="J18" s="32"/>
    </row>
    <row r="19" customFormat="false" ht="15" hidden="false" customHeight="true" outlineLevel="0" collapsed="false">
      <c r="A19" s="27" t="s">
        <v>954</v>
      </c>
      <c r="B19" s="28" t="s">
        <v>955</v>
      </c>
      <c r="C19" s="28" t="s">
        <v>1014</v>
      </c>
      <c r="D19" s="33"/>
      <c r="E19" s="30" t="str">
        <f aca="false">IF(D19="","",D19*12)</f>
        <v/>
      </c>
      <c r="F19" s="31" t="n">
        <v>0.6</v>
      </c>
      <c r="G19" s="32" t="s">
        <v>973</v>
      </c>
      <c r="H19" s="32"/>
      <c r="I19" s="32"/>
      <c r="J19" s="32"/>
    </row>
    <row r="20" customFormat="false" ht="15" hidden="false" customHeight="false" outlineLevel="0" collapsed="false">
      <c r="A20" s="34" t="s">
        <v>284</v>
      </c>
      <c r="B20" s="34"/>
      <c r="C20" s="34"/>
      <c r="D20" s="34"/>
      <c r="E20" s="35" t="n">
        <f aca="false">IF(SUMPRODUCT(E18:E19,F18:F19)=0,"",SUMPRODUCT(E18:E19,F18:F19))</f>
        <v>1128404.952</v>
      </c>
      <c r="F20" s="36"/>
      <c r="G20" s="36"/>
      <c r="H20" s="36"/>
      <c r="I20" s="36"/>
      <c r="J20" s="36"/>
    </row>
    <row r="21" customFormat="false" ht="15" hidden="false" customHeight="false" outlineLevel="0" collapsed="false">
      <c r="A21" s="37" t="s">
        <v>510</v>
      </c>
      <c r="B21" s="37"/>
      <c r="C21" s="37"/>
      <c r="D21" s="37"/>
      <c r="E21" s="37"/>
      <c r="F21" s="37"/>
      <c r="G21" s="37"/>
      <c r="H21" s="37"/>
      <c r="I21" s="37"/>
      <c r="J21" s="37"/>
    </row>
    <row r="23" customFormat="false" ht="15" hidden="false" customHeight="false" outlineLevel="0" collapsed="false">
      <c r="A23" s="25" t="s">
        <v>958</v>
      </c>
    </row>
    <row r="24" customFormat="false" ht="15" hidden="false" customHeight="true" outlineLevel="0" collapsed="false">
      <c r="A24" s="22" t="s">
        <v>287</v>
      </c>
      <c r="B24" s="22"/>
      <c r="C24" s="22"/>
      <c r="D24" s="35" t="n">
        <v>120043.08</v>
      </c>
      <c r="E24" s="36"/>
      <c r="F24" s="36"/>
      <c r="G24" s="36"/>
      <c r="H24" s="36"/>
      <c r="I24" s="36"/>
      <c r="J24" s="36"/>
    </row>
    <row r="25" customFormat="false" ht="15" hidden="false" customHeight="true" outlineLevel="0" collapsed="false">
      <c r="A25" s="22" t="s">
        <v>288</v>
      </c>
      <c r="B25" s="22"/>
      <c r="C25" s="22"/>
      <c r="D25" s="38" t="n">
        <v>0.0499105450026815</v>
      </c>
      <c r="E25" s="39" t="s">
        <v>289</v>
      </c>
      <c r="F25" s="39"/>
      <c r="G25" s="39"/>
      <c r="H25" s="39"/>
      <c r="I25" s="39"/>
      <c r="J25" s="39"/>
    </row>
    <row r="26" customFormat="false" ht="15" hidden="false" customHeight="true" outlineLevel="0" collapsed="false">
      <c r="A26" s="22" t="s">
        <v>1015</v>
      </c>
      <c r="B26" s="22"/>
      <c r="C26" s="22"/>
      <c r="D26" s="35" t="n">
        <v>20700</v>
      </c>
      <c r="E26" s="39" t="s">
        <v>291</v>
      </c>
      <c r="F26" s="39"/>
      <c r="G26" s="39"/>
      <c r="H26" s="39"/>
      <c r="I26" s="39"/>
      <c r="J26" s="39"/>
    </row>
    <row r="27" customFormat="false" ht="15" hidden="false" customHeight="true" outlineLevel="0" collapsed="false">
      <c r="A27" s="22" t="s">
        <v>292</v>
      </c>
      <c r="B27" s="22"/>
      <c r="C27" s="22"/>
      <c r="D27" s="35" t="n">
        <v>0</v>
      </c>
      <c r="E27" s="36"/>
      <c r="F27" s="36"/>
      <c r="G27" s="36"/>
      <c r="H27" s="36"/>
      <c r="I27" s="36"/>
      <c r="J27" s="36"/>
    </row>
    <row r="28" customFormat="false" ht="15" hidden="false" customHeight="true" outlineLevel="0" collapsed="false">
      <c r="A28" s="22" t="s">
        <v>293</v>
      </c>
      <c r="B28" s="22"/>
      <c r="C28" s="22"/>
      <c r="D28" s="35" t="n">
        <v>140743.08</v>
      </c>
      <c r="E28" s="36"/>
      <c r="F28" s="36"/>
      <c r="G28" s="36"/>
      <c r="H28" s="36"/>
      <c r="I28" s="36"/>
      <c r="J28" s="36"/>
    </row>
    <row r="29" customFormat="false" ht="15" hidden="false" customHeight="true" outlineLevel="0" collapsed="false">
      <c r="A29" s="22" t="s">
        <v>294</v>
      </c>
      <c r="B29" s="22"/>
      <c r="C29" s="22"/>
      <c r="D29" s="38" t="n">
        <v>0.05851702428958</v>
      </c>
      <c r="E29" s="39" t="s">
        <v>295</v>
      </c>
      <c r="F29" s="39"/>
      <c r="G29" s="39"/>
      <c r="H29" s="39"/>
      <c r="I29" s="39"/>
      <c r="J29" s="39"/>
    </row>
    <row r="30" customFormat="false" ht="27.75" hidden="false" customHeight="true" outlineLevel="0" collapsed="false">
      <c r="A30" s="40" t="s">
        <v>1016</v>
      </c>
      <c r="B30" s="40"/>
      <c r="C30" s="40"/>
      <c r="D30" s="40"/>
      <c r="E30" s="40"/>
      <c r="F30" s="40"/>
      <c r="G30" s="40"/>
      <c r="H30" s="40"/>
      <c r="I30" s="40"/>
      <c r="J30" s="40"/>
    </row>
    <row r="31" customFormat="false" ht="15" hidden="false" customHeight="false" outlineLevel="0" collapsed="false">
      <c r="A31" s="41" t="s">
        <v>1017</v>
      </c>
      <c r="B31" s="41"/>
      <c r="C31" s="41"/>
      <c r="D31" s="41"/>
      <c r="E31" s="41"/>
      <c r="F31" s="41"/>
      <c r="G31" s="41"/>
      <c r="H31" s="41"/>
      <c r="I31" s="41"/>
      <c r="J31" s="41"/>
    </row>
    <row r="33" customFormat="false" ht="15" hidden="false" customHeight="false" outlineLevel="0" collapsed="false">
      <c r="A33" s="25" t="s">
        <v>298</v>
      </c>
    </row>
    <row r="34" customFormat="false" ht="15" hidden="false" customHeight="true" outlineLevel="0" collapsed="false">
      <c r="A34" s="22" t="s">
        <v>299</v>
      </c>
      <c r="B34" s="22"/>
      <c r="C34" s="22"/>
      <c r="D34" s="42" t="n">
        <v>0</v>
      </c>
      <c r="E34" s="43" t="s">
        <v>300</v>
      </c>
      <c r="F34" s="43"/>
      <c r="G34" s="43"/>
      <c r="H34" s="43"/>
      <c r="I34" s="43"/>
      <c r="J34" s="43"/>
    </row>
    <row r="35" customFormat="false" ht="15" hidden="false" customHeight="true" outlineLevel="0" collapsed="false">
      <c r="A35" s="22" t="s">
        <v>301</v>
      </c>
      <c r="B35" s="22"/>
      <c r="C35" s="22"/>
      <c r="D35" s="34" t="s">
        <v>302</v>
      </c>
      <c r="E35" s="43" t="s">
        <v>303</v>
      </c>
      <c r="F35" s="43"/>
      <c r="G35" s="43"/>
      <c r="H35" s="43"/>
      <c r="I35" s="43"/>
      <c r="J35" s="43"/>
    </row>
    <row r="36" customFormat="false" ht="15" hidden="false" customHeight="true" outlineLevel="0" collapsed="false">
      <c r="A36" s="22" t="s">
        <v>304</v>
      </c>
      <c r="B36" s="22"/>
      <c r="C36" s="22"/>
      <c r="D36" s="44"/>
      <c r="E36" s="43" t="s">
        <v>305</v>
      </c>
      <c r="F36" s="43"/>
      <c r="G36" s="43"/>
      <c r="H36" s="43"/>
      <c r="I36" s="43"/>
      <c r="J36" s="43"/>
    </row>
    <row r="37" customFormat="false" ht="23.85" hidden="false" customHeight="true" outlineLevel="0" collapsed="false">
      <c r="A37" s="22" t="s">
        <v>306</v>
      </c>
      <c r="B37" s="22"/>
      <c r="C37" s="22"/>
      <c r="D37" s="45" t="str">
        <f aca="false">IF(OR($D$34="",E18=""),"",IF($D$34=0,"— (no % rent)",E18/$D$34))</f>
        <v>— (no % rent)</v>
      </c>
      <c r="E37" s="43" t="s">
        <v>307</v>
      </c>
      <c r="F37" s="43"/>
      <c r="G37" s="43"/>
      <c r="H37" s="43"/>
      <c r="I37" s="43"/>
      <c r="J37" s="43"/>
    </row>
    <row r="38" customFormat="false" ht="23.85" hidden="false" customHeight="true" outlineLevel="0" collapsed="false">
      <c r="A38" s="22" t="s">
        <v>308</v>
      </c>
      <c r="B38" s="22"/>
      <c r="C38" s="22"/>
      <c r="D38" s="45" t="str">
        <f aca="false">IF($D$34="","",IF($D$34=0,"— (no % rent)",IF($D$36&lt;&gt;"",$D$36,IF(E18="","",E18/$D$34))))</f>
        <v>— (no % rent)</v>
      </c>
      <c r="E38" s="36"/>
      <c r="F38" s="36"/>
      <c r="G38" s="36"/>
      <c r="H38" s="36"/>
      <c r="I38" s="36"/>
      <c r="J38" s="36"/>
    </row>
    <row r="39" customFormat="false" ht="15" hidden="false" customHeight="true" outlineLevel="0" collapsed="false">
      <c r="A39" s="22" t="s">
        <v>309</v>
      </c>
      <c r="B39" s="22"/>
      <c r="C39" s="22"/>
      <c r="D39" s="45" t="n">
        <f aca="false">IF(OR($D$34="",D13=""),"",IF($D$34=0,0,IF($D$38="","",MAX(0,D13-$D$38)*$D$34)))</f>
        <v>0</v>
      </c>
      <c r="E39" s="36"/>
      <c r="F39" s="36"/>
      <c r="G39" s="36"/>
      <c r="H39" s="36"/>
      <c r="I39" s="36"/>
      <c r="J39" s="36"/>
    </row>
    <row r="40" customFormat="false" ht="15" hidden="false" customHeight="true" outlineLevel="0" collapsed="false">
      <c r="A40" s="22" t="s">
        <v>310</v>
      </c>
      <c r="B40" s="22"/>
      <c r="C40" s="22"/>
      <c r="D40" s="45" t="n">
        <f aca="false">IF(OR(D39="",E18=""),"",E18+D39)</f>
        <v>120043.08</v>
      </c>
      <c r="E40" s="36"/>
      <c r="F40" s="36"/>
      <c r="G40" s="36"/>
      <c r="H40" s="36"/>
      <c r="I40" s="36"/>
      <c r="J40" s="36"/>
    </row>
    <row r="41" customFormat="false" ht="15" hidden="false" customHeight="true" outlineLevel="0" collapsed="false">
      <c r="A41" s="22" t="s">
        <v>311</v>
      </c>
      <c r="B41" s="22"/>
      <c r="C41" s="22"/>
      <c r="D41" s="46" t="n">
        <f aca="false">IF(OR(D40="",D13=""),"",D40/D13)</f>
        <v>0.0499105450026815</v>
      </c>
      <c r="E41" s="36"/>
      <c r="F41" s="36"/>
      <c r="G41" s="36"/>
      <c r="H41" s="36"/>
      <c r="I41" s="36"/>
      <c r="J41" s="36"/>
    </row>
    <row r="43" customFormat="false" ht="15" hidden="false" customHeight="false" outlineLevel="0" collapsed="false">
      <c r="A43" s="25" t="s">
        <v>312</v>
      </c>
    </row>
    <row r="44" customFormat="false" ht="22.35" hidden="false" customHeight="false" outlineLevel="0" collapsed="false">
      <c r="A44" s="26" t="s">
        <v>313</v>
      </c>
      <c r="B44" s="26" t="s">
        <v>314</v>
      </c>
      <c r="C44" s="26" t="s">
        <v>315</v>
      </c>
      <c r="D44" s="26" t="s">
        <v>316</v>
      </c>
      <c r="E44" s="26" t="s">
        <v>317</v>
      </c>
      <c r="F44" s="26" t="s">
        <v>318</v>
      </c>
      <c r="G44" s="26" t="s">
        <v>319</v>
      </c>
      <c r="H44" s="26" t="s">
        <v>269</v>
      </c>
      <c r="I44" s="26" t="s">
        <v>320</v>
      </c>
      <c r="J44" s="26" t="s">
        <v>321</v>
      </c>
    </row>
    <row r="45" customFormat="false" ht="53.7" hidden="false" customHeight="false" outlineLevel="0" collapsed="false">
      <c r="A45" s="48"/>
      <c r="B45" s="47" t="s">
        <v>962</v>
      </c>
      <c r="C45" s="48"/>
      <c r="D45" s="48"/>
      <c r="E45" s="48"/>
      <c r="F45" s="48"/>
      <c r="G45" s="48"/>
      <c r="H45" s="48"/>
      <c r="I45" s="48"/>
      <c r="J45" s="47" t="s">
        <v>423</v>
      </c>
    </row>
    <row r="46" customFormat="false" ht="15" hidden="false" customHeight="false" outlineLevel="0" collapsed="false">
      <c r="A46" s="52" t="s">
        <v>344</v>
      </c>
      <c r="B46" s="52"/>
      <c r="C46" s="52"/>
      <c r="D46" s="52"/>
      <c r="E46" s="52"/>
      <c r="F46" s="52"/>
      <c r="G46" s="52"/>
      <c r="H46" s="53" t="str">
        <f aca="false">IF(COUNT(H45:H45)=0,"",AVERAGE(H45:H45))</f>
        <v/>
      </c>
      <c r="I46" s="52" t="str">
        <f aca="false">IF(COUNT(H45:H45)=0,"",TEXT(MIN(H45:H45),"$#,##0")&amp;" – "&amp;TEXT(MAX(H45:H45),"$#,##0"))</f>
        <v/>
      </c>
      <c r="J46" s="36"/>
    </row>
    <row r="48" customFormat="false" ht="15" hidden="false" customHeight="false" outlineLevel="0" collapsed="false">
      <c r="A48" s="25" t="s">
        <v>345</v>
      </c>
    </row>
    <row r="49" customFormat="false" ht="53.7" hidden="false" customHeight="true" outlineLevel="0" collapsed="false">
      <c r="A49" s="26" t="s">
        <v>346</v>
      </c>
      <c r="B49" s="26"/>
      <c r="C49" s="26"/>
      <c r="D49" s="26" t="s">
        <v>347</v>
      </c>
      <c r="E49" s="26" t="s">
        <v>348</v>
      </c>
      <c r="F49" s="26" t="s">
        <v>349</v>
      </c>
      <c r="G49" s="26" t="s">
        <v>350</v>
      </c>
      <c r="H49" s="54" t="s">
        <v>351</v>
      </c>
    </row>
    <row r="50" customFormat="false" ht="68.65" hidden="false" customHeight="true" outlineLevel="0" collapsed="false">
      <c r="A50" s="22" t="s">
        <v>352</v>
      </c>
      <c r="B50" s="22"/>
      <c r="C50" s="22"/>
      <c r="D50" s="55" t="s">
        <v>353</v>
      </c>
      <c r="E50" s="56"/>
      <c r="F50" s="56"/>
      <c r="G50" s="56"/>
      <c r="H50" s="56"/>
    </row>
    <row r="51" customFormat="false" ht="15" hidden="false" customHeight="true" outlineLevel="0" collapsed="false">
      <c r="A51" s="22" t="s">
        <v>354</v>
      </c>
      <c r="B51" s="22"/>
      <c r="C51" s="22"/>
      <c r="D51" s="57" t="n">
        <v>120043</v>
      </c>
      <c r="E51" s="57"/>
      <c r="F51" s="57"/>
      <c r="G51" s="57"/>
      <c r="H51" s="57"/>
    </row>
    <row r="52" customFormat="false" ht="15" hidden="false" customHeight="true" outlineLevel="0" collapsed="false">
      <c r="A52" s="22" t="s">
        <v>355</v>
      </c>
      <c r="B52" s="22"/>
      <c r="C52" s="22"/>
      <c r="D52" s="58" t="n">
        <v>0.02</v>
      </c>
      <c r="E52" s="58"/>
      <c r="F52" s="58"/>
      <c r="G52" s="58"/>
      <c r="H52" s="58"/>
    </row>
    <row r="53" customFormat="false" ht="15" hidden="false" customHeight="true" outlineLevel="0" collapsed="false">
      <c r="A53" s="22" t="s">
        <v>356</v>
      </c>
      <c r="B53" s="22"/>
      <c r="C53" s="22"/>
      <c r="D53" s="56" t="n">
        <v>5</v>
      </c>
      <c r="E53" s="56"/>
      <c r="F53" s="56"/>
      <c r="G53" s="56"/>
      <c r="H53" s="56"/>
    </row>
    <row r="54" customFormat="false" ht="15" hidden="false" customHeight="true" outlineLevel="0" collapsed="false">
      <c r="A54" s="22" t="s">
        <v>357</v>
      </c>
      <c r="B54" s="22"/>
      <c r="C54" s="22"/>
      <c r="D54" s="59" t="n">
        <v>20</v>
      </c>
      <c r="E54" s="59"/>
      <c r="F54" s="59"/>
      <c r="G54" s="59"/>
      <c r="H54" s="59"/>
    </row>
    <row r="55" customFormat="false" ht="15" hidden="false" customHeight="true" outlineLevel="0" collapsed="false">
      <c r="A55" s="22" t="s">
        <v>358</v>
      </c>
      <c r="B55" s="22"/>
      <c r="C55" s="22"/>
      <c r="D55" s="60" t="n">
        <f aca="false">IF(OR(D51="",E18=""),"",D51-E18)</f>
        <v>-0.0800000000017462</v>
      </c>
      <c r="E55" s="60" t="str">
        <f aca="false">IF(OR(E51="",E18=""),"",E51-E18)</f>
        <v/>
      </c>
      <c r="F55" s="60" t="str">
        <f aca="false">IF(OR(F51="",E18=""),"",F51-E18)</f>
        <v/>
      </c>
      <c r="G55" s="60" t="str">
        <f aca="false">IF(OR(G51="",E18=""),"",G51-E18)</f>
        <v/>
      </c>
      <c r="H55" s="60" t="str">
        <f aca="false">IF(OR(H51="",E18=""),"",H51-E18)</f>
        <v/>
      </c>
    </row>
    <row r="56" customFormat="false" ht="15" hidden="false" customHeight="true" outlineLevel="0" collapsed="false">
      <c r="A56" s="22" t="s">
        <v>359</v>
      </c>
      <c r="B56" s="22"/>
      <c r="C56" s="22"/>
      <c r="D56" s="61" t="n">
        <f aca="false">IF(OR(D51="",E18=""),"",(D51-E18)/E18)</f>
        <v>-6.66427419237712E-007</v>
      </c>
      <c r="E56" s="61" t="str">
        <f aca="false">IF(OR(E51="",E18=""),"",(E51-E18)/E18)</f>
        <v/>
      </c>
      <c r="F56" s="61" t="str">
        <f aca="false">IF(OR(F51="",E18=""),"",(F51-E18)/E18)</f>
        <v/>
      </c>
      <c r="G56" s="61" t="str">
        <f aca="false">IF(OR(G51="",E18=""),"",(G51-E18)/E18)</f>
        <v/>
      </c>
      <c r="H56" s="61" t="str">
        <f aca="false">IF(OR(H51="",E18=""),"",(H51-E18)/E18)</f>
        <v/>
      </c>
    </row>
    <row r="57" customFormat="false" ht="15" hidden="false" customHeight="true" outlineLevel="0" collapsed="false">
      <c r="A57" s="22" t="s">
        <v>360</v>
      </c>
      <c r="B57" s="22"/>
      <c r="C57" s="22"/>
      <c r="D57" s="62" t="n">
        <f aca="false">IF(OR(D51="",D13=""),"",D51/D13)</f>
        <v>0.0499105117409258</v>
      </c>
      <c r="E57" s="62" t="str">
        <f aca="false">IF(OR(E51="",D13=""),"",E51/D13)</f>
        <v/>
      </c>
      <c r="F57" s="62" t="str">
        <f aca="false">IF(OR(F51="",D13=""),"",F51/D13)</f>
        <v/>
      </c>
      <c r="G57" s="62" t="str">
        <f aca="false">IF(OR(G51="",D13=""),"",G51/D13)</f>
        <v/>
      </c>
      <c r="H57" s="62" t="str">
        <f aca="false">IF(OR(H51="",D13=""),"",H51/D13)</f>
        <v/>
      </c>
    </row>
    <row r="58" customFormat="false" ht="15" hidden="false" customHeight="true" outlineLevel="0" collapsed="false">
      <c r="A58" s="22" t="s">
        <v>361</v>
      </c>
      <c r="B58" s="22"/>
      <c r="C58" s="22"/>
      <c r="D58" s="61" t="str">
        <f aca="false">IF(OR(D51="",H46=""),"",(D51-H46)/H46)</f>
        <v/>
      </c>
      <c r="E58" s="61" t="str">
        <f aca="false">IF(OR(E51="",H46=""),"",(E51-H46)/H46)</f>
        <v/>
      </c>
      <c r="F58" s="61" t="str">
        <f aca="false">IF(OR(F51="",H46=""),"",(F51-H46)/H46)</f>
        <v/>
      </c>
      <c r="G58" s="61" t="str">
        <f aca="false">IF(OR(G51="",H46=""),"",(G51-H46)/H46)</f>
        <v/>
      </c>
      <c r="H58" s="61" t="str">
        <f aca="false">IF(OR(H51="",H46=""),"",(H51-H46)/H46)</f>
        <v/>
      </c>
    </row>
    <row r="59" customFormat="false" ht="15" hidden="false" customHeight="true" outlineLevel="0" collapsed="false">
      <c r="A59" s="22" t="s">
        <v>362</v>
      </c>
      <c r="B59" s="22"/>
      <c r="C59" s="22"/>
      <c r="D59" s="63" t="n">
        <f aca="true">IF(D51="","",SUMPRODUCT(D51*(1+IF(D52="",0,D52))^ROUNDDOWN((ROW(INDIRECT("1:10"))-1)/IF(D53="",5,D53),0)))</f>
        <v>1212434.3</v>
      </c>
      <c r="E59" s="63" t="str">
        <f aca="true">IF(E51="","",SUMPRODUCT(E51*(1+IF(E52="",0,E52))^ROUNDDOWN((ROW(INDIRECT("1:10"))-1)/IF(E53="",5,E53),0)))</f>
        <v/>
      </c>
      <c r="F59" s="63" t="str">
        <f aca="true">IF(F51="","",SUMPRODUCT(F51*(1+IF(F52="",0,F52))^ROUNDDOWN((ROW(INDIRECT("1:10"))-1)/IF(F53="",5,F53),0)))</f>
        <v/>
      </c>
      <c r="G59" s="63" t="str">
        <f aca="true">IF(G51="","",SUMPRODUCT(G51*(1+IF(G52="",0,G52))^ROUNDDOWN((ROW(INDIRECT("1:10"))-1)/IF(G53="",5,G53),0)))</f>
        <v/>
      </c>
      <c r="H59" s="63" t="str">
        <f aca="true">IF(H51="","",SUMPRODUCT(H51*(1+IF(H52="",0,H52))^ROUNDDOWN((ROW(INDIRECT("1:10"))-1)/IF(H53="",5,H53),0)))</f>
        <v/>
      </c>
    </row>
    <row r="60" customFormat="false" ht="15" hidden="false" customHeight="true" outlineLevel="0" collapsed="false">
      <c r="A60" s="22" t="s">
        <v>363</v>
      </c>
      <c r="B60" s="22"/>
      <c r="C60" s="22"/>
      <c r="D60" s="60" t="n">
        <f aca="false">IF(OR(D59="",E20=""),"",D59-E20)</f>
        <v>84029.348</v>
      </c>
      <c r="E60" s="60" t="str">
        <f aca="false">IF(OR(E59="",E20=""),"",E59-E20)</f>
        <v/>
      </c>
      <c r="F60" s="60" t="str">
        <f aca="false">IF(OR(F59="",E20=""),"",F59-E20)</f>
        <v/>
      </c>
      <c r="G60" s="60" t="str">
        <f aca="false">IF(OR(G59="",E20=""),"",G59-E20)</f>
        <v/>
      </c>
      <c r="H60" s="60" t="str">
        <f aca="false">IF(OR(H59="",E20=""),"",H59-E20)</f>
        <v/>
      </c>
    </row>
    <row r="61" customFormat="false" ht="23.85" hidden="false" customHeight="true" outlineLevel="0" collapsed="false">
      <c r="A61" s="22" t="s">
        <v>364</v>
      </c>
      <c r="B61" s="22"/>
      <c r="C61" s="22"/>
      <c r="D61" s="58"/>
      <c r="E61" s="58"/>
      <c r="F61" s="58"/>
      <c r="G61" s="58"/>
      <c r="H61" s="58"/>
    </row>
    <row r="62" customFormat="false" ht="23.85" hidden="false" customHeight="true" outlineLevel="0" collapsed="false">
      <c r="A62" s="22" t="s">
        <v>365</v>
      </c>
      <c r="B62" s="22"/>
      <c r="C62" s="22"/>
      <c r="D62" s="57"/>
      <c r="E62" s="57"/>
      <c r="F62" s="57"/>
      <c r="G62" s="57"/>
      <c r="H62" s="57"/>
    </row>
    <row r="63" customFormat="false" ht="15" hidden="false" customHeight="true" outlineLevel="0" collapsed="false">
      <c r="A63" s="22" t="s">
        <v>366</v>
      </c>
      <c r="B63" s="22"/>
      <c r="C63" s="22"/>
      <c r="D63" s="63" t="str">
        <f aca="false">IF(OR(D51="",AND(D61="",$D$34="")),"",IF(IF(D61="",IF($D$34="",0,$D$34),D61)=0,"— (% rent removed)",IF(D62&lt;&gt;"",D62,IF($D$36&lt;&gt;"",$D$36,D51/IF(D61="",IF($D$34="",0,$D$34),D61)))))</f>
        <v>— (% rent removed)</v>
      </c>
      <c r="E63" s="63" t="str">
        <f aca="false">IF(OR(E51="",AND(E61="",$D$34="")),"",IF(IF(E61="",IF($D$34="",0,$D$34),E61)=0,"— (% rent removed)",IF(E62&lt;&gt;"",E62,IF($D$36&lt;&gt;"",$D$36,E51/IF(E61="",IF($D$34="",0,$D$34),E61)))))</f>
        <v/>
      </c>
      <c r="F63" s="63" t="str">
        <f aca="false">IF(OR(F51="",AND(F61="",$D$34="")),"",IF(IF(F61="",IF($D$34="",0,$D$34),F61)=0,"— (% rent removed)",IF(F62&lt;&gt;"",F62,IF($D$36&lt;&gt;"",$D$36,F51/IF(F61="",IF($D$34="",0,$D$34),F61)))))</f>
        <v/>
      </c>
      <c r="G63" s="63" t="str">
        <f aca="false">IF(OR(G51="",AND(G61="",$D$34="")),"",IF(IF(G61="",IF($D$34="",0,$D$34),G61)=0,"— (% rent removed)",IF(G62&lt;&gt;"",G62,IF($D$36&lt;&gt;"",$D$36,G51/IF(G61="",IF($D$34="",0,$D$34),G61)))))</f>
        <v/>
      </c>
      <c r="H63" s="63" t="str">
        <f aca="false">IF(OR(H51="",AND(H61="",$D$34="")),"",IF(IF(H61="",IF($D$34="",0,$D$34),H61)=0,"— (% rent removed)",IF(H62&lt;&gt;"",H62,IF($D$36&lt;&gt;"",$D$36,H51/IF(H61="",IF($D$34="",0,$D$34),H61)))))</f>
        <v/>
      </c>
    </row>
    <row r="64" customFormat="false" ht="15" hidden="false" customHeight="true" outlineLevel="0" collapsed="false">
      <c r="A64" s="22" t="s">
        <v>367</v>
      </c>
      <c r="B64" s="22"/>
      <c r="C64" s="22"/>
      <c r="D64" s="63" t="n">
        <f aca="false">IF(OR(D51="",AND(D61="",$D$34=""),D13=""),"",IF(IF(D61="",IF($D$34="",0,$D$34),D61)=0,0,MAX(0,D13-D63)*IF(D61="",IF($D$34="",0,$D$34),D61)))</f>
        <v>0</v>
      </c>
      <c r="E64" s="63" t="str">
        <f aca="false">IF(OR(E51="",AND(E61="",$D$34=""),D13=""),"",IF(IF(E61="",IF($D$34="",0,$D$34),E61)=0,0,MAX(0,D13-E63)*IF(E61="",IF($D$34="",0,$D$34),E61)))</f>
        <v/>
      </c>
      <c r="F64" s="63" t="str">
        <f aca="false">IF(OR(F51="",AND(F61="",$D$34=""),D13=""),"",IF(IF(F61="",IF($D$34="",0,$D$34),F61)=0,0,MAX(0,D13-F63)*IF(F61="",IF($D$34="",0,$D$34),F61)))</f>
        <v/>
      </c>
      <c r="G64" s="63" t="str">
        <f aca="false">IF(OR(G51="",AND(G61="",$D$34=""),D13=""),"",IF(IF(G61="",IF($D$34="",0,$D$34),G61)=0,0,MAX(0,D13-G63)*IF(G61="",IF($D$34="",0,$D$34),G61)))</f>
        <v/>
      </c>
      <c r="H64" s="63" t="str">
        <f aca="false">IF(OR(H51="",AND(H61="",$D$34=""),D13=""),"",IF(IF(H61="",IF($D$34="",0,$D$34),H61)=0,0,MAX(0,D13-H63)*IF(H61="",IF($D$34="",0,$D$34),H61)))</f>
        <v/>
      </c>
    </row>
    <row r="65" customFormat="false" ht="15" hidden="false" customHeight="true" outlineLevel="0" collapsed="false">
      <c r="A65" s="22" t="s">
        <v>368</v>
      </c>
      <c r="B65" s="22"/>
      <c r="C65" s="22"/>
      <c r="D65" s="63" t="n">
        <f aca="false">IF(OR(D51="",D64=""),"",D51+D64)</f>
        <v>120043</v>
      </c>
      <c r="E65" s="63" t="str">
        <f aca="false">IF(OR(E51="",E64=""),"",E51+E64)</f>
        <v/>
      </c>
      <c r="F65" s="63" t="str">
        <f aca="false">IF(OR(F51="",F64=""),"",F51+F64)</f>
        <v/>
      </c>
      <c r="G65" s="63" t="str">
        <f aca="false">IF(OR(G51="",G64=""),"",G51+G64)</f>
        <v/>
      </c>
      <c r="H65" s="63" t="str">
        <f aca="false">IF(OR(H51="",H64=""),"",H51+H64)</f>
        <v/>
      </c>
    </row>
    <row r="66" customFormat="false" ht="15" hidden="false" customHeight="true" outlineLevel="0" collapsed="false">
      <c r="A66" s="22" t="s">
        <v>369</v>
      </c>
      <c r="B66" s="22"/>
      <c r="C66" s="22"/>
      <c r="D66" s="62" t="n">
        <f aca="false">IF(OR(D65="",D13=""),"",D65/D13)</f>
        <v>0.0499105117409258</v>
      </c>
      <c r="E66" s="62" t="str">
        <f aca="false">IF(OR(E65="",D13=""),"",E65/D13)</f>
        <v/>
      </c>
      <c r="F66" s="62" t="str">
        <f aca="false">IF(OR(F65="",D13=""),"",F65/D13)</f>
        <v/>
      </c>
      <c r="G66" s="62" t="str">
        <f aca="false">IF(OR(G65="",D13=""),"",G65/D13)</f>
        <v/>
      </c>
      <c r="H66" s="62" t="str">
        <f aca="false">IF(OR(H65="",D13=""),"",H65/D13)</f>
        <v/>
      </c>
    </row>
    <row r="67" customFormat="false" ht="23.85" hidden="false" customHeight="true" outlineLevel="0" collapsed="false">
      <c r="A67" s="22" t="s">
        <v>370</v>
      </c>
      <c r="B67" s="22"/>
      <c r="C67" s="22"/>
      <c r="D67" s="64" t="n">
        <f aca="false">IF(D65="","",(792365.98-D65)/2405164.68)</f>
        <v>0.279533033887725</v>
      </c>
      <c r="E67" s="64" t="str">
        <f aca="false">IF(E65="","",(792365.98-E65)/2405164.68)</f>
        <v/>
      </c>
      <c r="F67" s="64" t="str">
        <f aca="false">IF(F65="","",(792365.98-F65)/2405164.68)</f>
        <v/>
      </c>
      <c r="G67" s="64" t="str">
        <f aca="false">IF(G65="","",(792365.98-G65)/2405164.68)</f>
        <v/>
      </c>
      <c r="H67" s="64" t="str">
        <f aca="false">IF(H65="","",(792365.98-H65)/2405164.68)</f>
        <v/>
      </c>
    </row>
    <row r="68" customFormat="false" ht="15" hidden="false" customHeight="true" outlineLevel="0" collapsed="false">
      <c r="A68" s="22" t="s">
        <v>371</v>
      </c>
      <c r="B68" s="22"/>
      <c r="C68" s="22"/>
      <c r="D68" s="63" t="n">
        <f aca="true">IF(OR(D51="",AND(D61="",$D$34=""),D13=""),"",IF(IF(D61="",IF($D$34="",0,$D$34),D61)=0,0,SUMPRODUCT(((D13*1.02^(ROW(INDIRECT("1:10"))-1))-(IF(D62&lt;&gt;"",D62,IF($D$36&lt;&gt;"",$D$36,(D51*(1+IF(D52="",0,D52))^ROUNDDOWN((ROW(INDIRECT("1:10"))-1)/IF(D53="",5,D53),0))/IF(D61="",IF($D$34="",0,$D$34),D61))))&gt;0)*((D13*1.02^(ROW(INDIRECT("1:10"))-1))-(IF(D62&lt;&gt;"",D62,IF($D$36&lt;&gt;"",$D$36,(D51*(1+IF(D52="",0,D52))^ROUNDDOWN((ROW(INDIRECT("1:10"))-1)/IF(D53="",5,D53),0))/IF(D61="",IF($D$34="",0,$D$34),D61))))))*IF(D61="",IF($D$34="",0,$D$34),D61)))</f>
        <v>0</v>
      </c>
      <c r="E68" s="63" t="str">
        <f aca="true">IF(OR(E51="",AND(E61="",$D$34=""),D13=""),"",IF(IF(E61="",IF($D$34="",0,$D$34),E61)=0,0,SUMPRODUCT(((D13*1.02^(ROW(INDIRECT("1:10"))-1))-(IF(E62&lt;&gt;"",E62,IF($D$36&lt;&gt;"",$D$36,(E51*(1+IF(E52="",0,E52))^ROUNDDOWN((ROW(INDIRECT("1:10"))-1)/IF(E53="",5,E53),0))/IF(E61="",IF($D$34="",0,$D$34),E61))))&gt;0)*((D13*1.02^(ROW(INDIRECT("1:10"))-1))-(IF(E62&lt;&gt;"",E62,IF($D$36&lt;&gt;"",$D$36,(E51*(1+IF(E52="",0,E52))^ROUNDDOWN((ROW(INDIRECT("1:10"))-1)/IF(E53="",5,E53),0))/IF(E61="",IF($D$34="",0,$D$34),E61))))))*IF(E61="",IF($D$34="",0,$D$34),E61)))</f>
        <v/>
      </c>
      <c r="F68" s="63" t="str">
        <f aca="true">IF(OR(F51="",AND(F61="",$D$34=""),D13=""),"",IF(IF(F61="",IF($D$34="",0,$D$34),F61)=0,0,SUMPRODUCT(((D13*1.02^(ROW(INDIRECT("1:10"))-1))-(IF(F62&lt;&gt;"",F62,IF($D$36&lt;&gt;"",$D$36,(F51*(1+IF(F52="",0,F52))^ROUNDDOWN((ROW(INDIRECT("1:10"))-1)/IF(F53="",5,F53),0))/IF(F61="",IF($D$34="",0,$D$34),F61))))&gt;0)*((D13*1.02^(ROW(INDIRECT("1:10"))-1))-(IF(F62&lt;&gt;"",F62,IF($D$36&lt;&gt;"",$D$36,(F51*(1+IF(F52="",0,F52))^ROUNDDOWN((ROW(INDIRECT("1:10"))-1)/IF(F53="",5,F53),0))/IF(F61="",IF($D$34="",0,$D$34),F61))))))*IF(F61="",IF($D$34="",0,$D$34),F61)))</f>
        <v/>
      </c>
      <c r="G68" s="63" t="str">
        <f aca="true">IF(OR(G51="",AND(G61="",$D$34=""),D13=""),"",IF(IF(G61="",IF($D$34="",0,$D$34),G61)=0,0,SUMPRODUCT(((D13*1.02^(ROW(INDIRECT("1:10"))-1))-(IF(G62&lt;&gt;"",G62,IF($D$36&lt;&gt;"",$D$36,(G51*(1+IF(G52="",0,G52))^ROUNDDOWN((ROW(INDIRECT("1:10"))-1)/IF(G53="",5,G53),0))/IF(G61="",IF($D$34="",0,$D$34),G61))))&gt;0)*((D13*1.02^(ROW(INDIRECT("1:10"))-1))-(IF(G62&lt;&gt;"",G62,IF($D$36&lt;&gt;"",$D$36,(G51*(1+IF(G52="",0,G52))^ROUNDDOWN((ROW(INDIRECT("1:10"))-1)/IF(G53="",5,G53),0))/IF(G61="",IF($D$34="",0,$D$34),G61))))))*IF(G61="",IF($D$34="",0,$D$34),G61)))</f>
        <v/>
      </c>
      <c r="H68" s="63" t="str">
        <f aca="true">IF(OR(H51="",AND(H61="",$D$34=""),D13=""),"",IF(IF(H61="",IF($D$34="",0,$D$34),H61)=0,0,SUMPRODUCT(((D13*1.02^(ROW(INDIRECT("1:10"))-1))-(IF(H62&lt;&gt;"",H62,IF($D$36&lt;&gt;"",$D$36,(H51*(1+IF(H52="",0,H52))^ROUNDDOWN((ROW(INDIRECT("1:10"))-1)/IF(H53="",5,H53),0))/IF(H61="",IF($D$34="",0,$D$34),H61))))&gt;0)*((D13*1.02^(ROW(INDIRECT("1:10"))-1))-(IF(H62&lt;&gt;"",H62,IF($D$36&lt;&gt;"",$D$36,(H51*(1+IF(H52="",0,H52))^ROUNDDOWN((ROW(INDIRECT("1:10"))-1)/IF(H53="",5,H53),0))/IF(H61="",IF($D$34="",0,$D$34),H61))))))*IF(H61="",IF($D$34="",0,$D$34),H61)))</f>
        <v/>
      </c>
    </row>
    <row r="69" customFormat="false" ht="15" hidden="false" customHeight="true" outlineLevel="0" collapsed="false">
      <c r="A69" s="22" t="s">
        <v>372</v>
      </c>
      <c r="B69" s="22"/>
      <c r="C69" s="22"/>
      <c r="D69" s="63" t="n">
        <f aca="false">IF(OR(D59="",D68=""),"",D59+D68)</f>
        <v>1212434.3</v>
      </c>
      <c r="E69" s="63" t="str">
        <f aca="false">IF(OR(E59="",E68=""),"",E59+E68)</f>
        <v/>
      </c>
      <c r="F69" s="63" t="str">
        <f aca="false">IF(OR(F59="",F68=""),"",F59+F68)</f>
        <v/>
      </c>
      <c r="G69" s="63" t="str">
        <f aca="false">IF(OR(G59="",G68=""),"",G59+G68)</f>
        <v/>
      </c>
      <c r="H69" s="63" t="str">
        <f aca="false">IF(OR(H59="",H68=""),"",H59+H68)</f>
        <v/>
      </c>
    </row>
    <row r="70" customFormat="false" ht="23.85" hidden="false" customHeight="true" outlineLevel="0" collapsed="false">
      <c r="A70" s="22" t="s">
        <v>373</v>
      </c>
      <c r="B70" s="22"/>
      <c r="C70" s="22"/>
      <c r="D70" s="65" t="n">
        <f aca="true">IF(D51="","",SUMPRODUCT(D51*(1+IF(D52="",0,D52))^ROUNDDOWN((ROW(INDIRECT("1:"&amp;IF(D54="",10,D54)))-1)/IF(D53="",5,D53),0))+IF(OR(D13="",IF(D61="",IF($D$34="",0,$D$34),D61)=0),0,SUMPRODUCT(((D13*1.02^(ROW(INDIRECT("1:"&amp;IF(D54="",10,D54)))-1))-(IF(D62&lt;&gt;"",D62,IF($D$36&lt;&gt;"",$D$36,(D51*(1+IF(D52="",0,D52))^ROUNDDOWN((ROW(INDIRECT("1:"&amp;IF(D54="",10,D54)))-1)/IF(D53="",5,D53),0))/IF(D61="",IF($D$34="",0,$D$34),D61))))&gt;0)*((D13*1.02^(ROW(INDIRECT("1:"&amp;IF(D54="",10,D54)))-1))-(IF(D62&lt;&gt;"",D62,IF($D$36&lt;&gt;"",$D$36,(D51*(1+IF(D52="",0,D52))^ROUNDDOWN((ROW(INDIRECT("1:"&amp;IF(D54="",10,D54)))-1)/IF(D53="",5,D53),0))/IF(D61="",IF($D$34="",0,$D$34),D61))))))*IF(D61="",IF($D$34="",0,$D$34),D61)))</f>
        <v>2473850.94572</v>
      </c>
      <c r="E70" s="65" t="str">
        <f aca="true">IF(E51="","",SUMPRODUCT(E51*(1+IF(E52="",0,E52))^ROUNDDOWN((ROW(INDIRECT("1:"&amp;IF(E54="",10,E54)))-1)/IF(E53="",5,E53),0))+IF(OR(D13="",IF(E61="",IF($D$34="",0,$D$34),E61)=0),0,SUMPRODUCT(((D13*1.02^(ROW(INDIRECT("1:"&amp;IF(E54="",10,E54)))-1))-(IF(E62&lt;&gt;"",E62,IF($D$36&lt;&gt;"",$D$36,(E51*(1+IF(E52="",0,E52))^ROUNDDOWN((ROW(INDIRECT("1:"&amp;IF(E54="",10,E54)))-1)/IF(E53="",5,E53),0))/IF(E61="",IF($D$34="",0,$D$34),E61))))&gt;0)*((D13*1.02^(ROW(INDIRECT("1:"&amp;IF(E54="",10,E54)))-1))-(IF(E62&lt;&gt;"",E62,IF($D$36&lt;&gt;"",$D$36,(E51*(1+IF(E52="",0,E52))^ROUNDDOWN((ROW(INDIRECT("1:"&amp;IF(E54="",10,E54)))-1)/IF(E53="",5,E53),0))/IF(E61="",IF($D$34="",0,$D$34),E61))))))*IF(E61="",IF($D$34="",0,$D$34),E61)))</f>
        <v/>
      </c>
      <c r="F70" s="65" t="str">
        <f aca="true">IF(F51="","",SUMPRODUCT(F51*(1+IF(F52="",0,F52))^ROUNDDOWN((ROW(INDIRECT("1:"&amp;IF(F54="",10,F54)))-1)/IF(F53="",5,F53),0))+IF(OR(D13="",IF(F61="",IF($D$34="",0,$D$34),F61)=0),0,SUMPRODUCT(((D13*1.02^(ROW(INDIRECT("1:"&amp;IF(F54="",10,F54)))-1))-(IF(F62&lt;&gt;"",F62,IF($D$36&lt;&gt;"",$D$36,(F51*(1+IF(F52="",0,F52))^ROUNDDOWN((ROW(INDIRECT("1:"&amp;IF(F54="",10,F54)))-1)/IF(F53="",5,F53),0))/IF(F61="",IF($D$34="",0,$D$34),F61))))&gt;0)*((D13*1.02^(ROW(INDIRECT("1:"&amp;IF(F54="",10,F54)))-1))-(IF(F62&lt;&gt;"",F62,IF($D$36&lt;&gt;"",$D$36,(F51*(1+IF(F52="",0,F52))^ROUNDDOWN((ROW(INDIRECT("1:"&amp;IF(F54="",10,F54)))-1)/IF(F53="",5,F53),0))/IF(F61="",IF($D$34="",0,$D$34),F61))))))*IF(F61="",IF($D$34="",0,$D$34),F61)))</f>
        <v/>
      </c>
      <c r="G70" s="65" t="str">
        <f aca="true">IF(G51="","",SUMPRODUCT(G51*(1+IF(G52="",0,G52))^ROUNDDOWN((ROW(INDIRECT("1:"&amp;IF(G54="",10,G54)))-1)/IF(G53="",5,G53),0))+IF(OR(D13="",IF(G61="",IF($D$34="",0,$D$34),G61)=0),0,SUMPRODUCT(((D13*1.02^(ROW(INDIRECT("1:"&amp;IF(G54="",10,G54)))-1))-(IF(G62&lt;&gt;"",G62,IF($D$36&lt;&gt;"",$D$36,(G51*(1+IF(G52="",0,G52))^ROUNDDOWN((ROW(INDIRECT("1:"&amp;IF(G54="",10,G54)))-1)/IF(G53="",5,G53),0))/IF(G61="",IF($D$34="",0,$D$34),G61))))&gt;0)*((D13*1.02^(ROW(INDIRECT("1:"&amp;IF(G54="",10,G54)))-1))-(IF(G62&lt;&gt;"",G62,IF($D$36&lt;&gt;"",$D$36,(G51*(1+IF(G52="",0,G52))^ROUNDDOWN((ROW(INDIRECT("1:"&amp;IF(G54="",10,G54)))-1)/IF(G53="",5,G53),0))/IF(G61="",IF($D$34="",0,$D$34),G61))))))*IF(G61="",IF($D$34="",0,$D$34),G61)))</f>
        <v/>
      </c>
      <c r="H70" s="65" t="str">
        <f aca="true">IF(H51="","",SUMPRODUCT(H51*(1+IF(H52="",0,H52))^ROUNDDOWN((ROW(INDIRECT("1:"&amp;IF(H54="",10,H54)))-1)/IF(H53="",5,H53),0))+IF(OR(D13="",IF(H61="",IF($D$34="",0,$D$34),H61)=0),0,SUMPRODUCT(((D13*1.02^(ROW(INDIRECT("1:"&amp;IF(H54="",10,H54)))-1))-(IF(H62&lt;&gt;"",H62,IF($D$36&lt;&gt;"",$D$36,(H51*(1+IF(H52="",0,H52))^ROUNDDOWN((ROW(INDIRECT("1:"&amp;IF(H54="",10,H54)))-1)/IF(H53="",5,H53),0))/IF(H61="",IF($D$34="",0,$D$34),H61))))&gt;0)*((D13*1.02^(ROW(INDIRECT("1:"&amp;IF(H54="",10,H54)))-1))-(IF(H62&lt;&gt;"",H62,IF($D$36&lt;&gt;"",$D$36,(H51*(1+IF(H52="",0,H52))^ROUNDDOWN((ROW(INDIRECT("1:"&amp;IF(H54="",10,H54)))-1)/IF(H53="",5,H53),0))/IF(H61="",IF($D$34="",0,$D$34),H61))))))*IF(H61="",IF($D$34="",0,$D$34),H61)))</f>
        <v/>
      </c>
    </row>
    <row r="71" customFormat="false" ht="15" hidden="false" customHeight="true" outlineLevel="0" collapsed="false">
      <c r="A71" s="22" t="s">
        <v>374</v>
      </c>
      <c r="B71" s="22"/>
      <c r="C71" s="22"/>
      <c r="D71" s="62" t="n">
        <f aca="false">IF(D51="","",IF(D52="",0,(1+D52)^(5/IF(D53="",5,D53))-1))</f>
        <v>0.02</v>
      </c>
      <c r="E71" s="62" t="str">
        <f aca="false">IF(E51="","",IF(E52="",0,(1+E52)^(5/IF(E53="",5,E53))-1))</f>
        <v/>
      </c>
      <c r="F71" s="62" t="str">
        <f aca="false">IF(F51="","",IF(F52="",0,(1+F52)^(5/IF(F53="",5,F53))-1))</f>
        <v/>
      </c>
      <c r="G71" s="62" t="str">
        <f aca="false">IF(G51="","",IF(G52="",0,(1+G52)^(5/IF(G53="",5,G53))-1))</f>
        <v/>
      </c>
      <c r="H71" s="62" t="str">
        <f aca="false">IF(H51="","",IF(H52="",0,(1+H52)^(5/IF(H53="",5,H53))-1))</f>
        <v/>
      </c>
    </row>
    <row r="72" customFormat="false" ht="43.25" hidden="false" customHeight="true" outlineLevel="0" collapsed="false">
      <c r="A72" s="22" t="s">
        <v>375</v>
      </c>
      <c r="B72" s="22"/>
      <c r="C72" s="22"/>
      <c r="D72" s="66" t="str">
        <f aca="false">IF(D71="","",IF(D71&lt;=0,"REDUCTION / FLAT — ladder steps 1-2 (best)",IF(D71&lt;=0.08,"OK — within 8%/5-yr in-house authority (ladder step 3)","ABOVE 8%/5-yr — CEO SIGN-OFF REQUIRED (Rob 8/5/26)")))</f>
        <v>OK — within 8%/5-yr in-house authority (ladder step 3)</v>
      </c>
      <c r="E72" s="66" t="str">
        <f aca="false">IF(E71="","",IF(E71&lt;=0,"REDUCTION / FLAT — ladder steps 1-2 (best)",IF(E71&lt;=0.08,"OK — within 8%/5-yr in-house authority (ladder step 3)","ABOVE 8%/5-yr — CEO SIGN-OFF REQUIRED (Rob 8/5/26)")))</f>
        <v/>
      </c>
      <c r="F72" s="66" t="str">
        <f aca="false">IF(F71="","",IF(F71&lt;=0,"REDUCTION / FLAT — ladder steps 1-2 (best)",IF(F71&lt;=0.08,"OK — within 8%/5-yr in-house authority (ladder step 3)","ABOVE 8%/5-yr — CEO SIGN-OFF REQUIRED (Rob 8/5/26)")))</f>
        <v/>
      </c>
      <c r="G72" s="66" t="str">
        <f aca="false">IF(G71="","",IF(G71&lt;=0,"REDUCTION / FLAT — ladder steps 1-2 (best)",IF(G71&lt;=0.08,"OK — within 8%/5-yr in-house authority (ladder step 3)","ABOVE 8%/5-yr — CEO SIGN-OFF REQUIRED (Rob 8/5/26)")))</f>
        <v/>
      </c>
      <c r="H72" s="66" t="str">
        <f aca="false">IF(H71="","",IF(H71&lt;=0,"REDUCTION / FLAT — ladder steps 1-2 (best)",IF(H71&lt;=0.08,"OK — within 8%/5-yr in-house authority (ladder step 3)","ABOVE 8%/5-yr — CEO SIGN-OFF REQUIRED (Rob 8/5/26)")))</f>
        <v/>
      </c>
    </row>
    <row r="73" customFormat="false" ht="23.85" hidden="false" customHeight="true" outlineLevel="0" collapsed="false">
      <c r="A73" s="22" t="s">
        <v>376</v>
      </c>
      <c r="B73" s="22"/>
      <c r="C73" s="22"/>
      <c r="D73" s="62" t="n">
        <f aca="false">IF(OR(D51="",D13=""),"",((D51*(1+IF(D52="",0,D52))^ROUNDDOWN(9/IF(D53="",5,D53),0))+IF(IF(D61="",IF($D$34="",0,$D$34),D61)=0,0,MAX(0,D13*1.02^9-IF(D62&lt;&gt;"",D62,IF($D$36&lt;&gt;"",$D$36,(D51*(1+IF(D52="",0,D52))^ROUNDDOWN(9/IF(D53="",5,D53),0))/IF(D61="",IF($D$34="",0,$D$34),D61))))*IF(D61="",IF($D$34="",0,$D$34),D61)))/(D13*1.02^9))</f>
        <v>0.0425981411920512</v>
      </c>
      <c r="E73" s="62" t="str">
        <f aca="false">IF(OR(E51="",D13=""),"",((E51*(1+IF(E52="",0,E52))^ROUNDDOWN(9/IF(E53="",5,E53),0))+IF(IF(E61="",IF($D$34="",0,$D$34),E61)=0,0,MAX(0,D13*1.02^9-IF(E62&lt;&gt;"",E62,IF($D$36&lt;&gt;"",$D$36,(E51*(1+IF(E52="",0,E52))^ROUNDDOWN(9/IF(E53="",5,E53),0))/IF(E61="",IF($D$34="",0,$D$34),E61))))*IF(E61="",IF($D$34="",0,$D$34),E61)))/(D13*1.02^9))</f>
        <v/>
      </c>
      <c r="F73" s="62" t="str">
        <f aca="false">IF(OR(F51="",D13=""),"",((F51*(1+IF(F52="",0,F52))^ROUNDDOWN(9/IF(F53="",5,F53),0))+IF(IF(F61="",IF($D$34="",0,$D$34),F61)=0,0,MAX(0,D13*1.02^9-IF(F62&lt;&gt;"",F62,IF($D$36&lt;&gt;"",$D$36,(F51*(1+IF(F52="",0,F52))^ROUNDDOWN(9/IF(F53="",5,F53),0))/IF(F61="",IF($D$34="",0,$D$34),F61))))*IF(F61="",IF($D$34="",0,$D$34),F61)))/(D13*1.02^9))</f>
        <v/>
      </c>
      <c r="G73" s="62" t="str">
        <f aca="false">IF(OR(G51="",D13=""),"",((G51*(1+IF(G52="",0,G52))^ROUNDDOWN(9/IF(G53="",5,G53),0))+IF(IF(G61="",IF($D$34="",0,$D$34),G61)=0,0,MAX(0,D13*1.02^9-IF(G62&lt;&gt;"",G62,IF($D$36&lt;&gt;"",$D$36,(G51*(1+IF(G52="",0,G52))^ROUNDDOWN(9/IF(G53="",5,G53),0))/IF(G61="",IF($D$34="",0,$D$34),G61))))*IF(G61="",IF($D$34="",0,$D$34),G61)))/(D13*1.02^9))</f>
        <v/>
      </c>
      <c r="H73" s="62" t="str">
        <f aca="false">IF(OR(H51="",D13=""),"",((H51*(1+IF(H52="",0,H52))^ROUNDDOWN(9/IF(H53="",5,H53),0))+IF(IF(H61="",IF($D$34="",0,$D$34),H61)=0,0,MAX(0,D13*1.02^9-IF(H62&lt;&gt;"",H62,IF($D$36&lt;&gt;"",$D$36,(H51*(1+IF(H52="",0,H52))^ROUNDDOWN(9/IF(H53="",5,H53),0))/IF(H61="",IF($D$34="",0,$D$34),H61))))*IF(H61="",IF($D$34="",0,$D$34),H61)))/(D13*1.02^9))</f>
        <v/>
      </c>
    </row>
    <row r="74" customFormat="false" ht="23.85" hidden="false" customHeight="true" outlineLevel="0" collapsed="false">
      <c r="A74" s="22" t="s">
        <v>377</v>
      </c>
      <c r="B74" s="22"/>
      <c r="C74" s="22"/>
      <c r="D74" s="66" t="str">
        <f aca="false">IF(OR(D73="",D66=""),"",IF(MAX(D66,D73)&gt;=0.08,"HARD STOP — occupancy at/above 8% of sales: STOP, CEO sign-off before responding",IF(MAX(D66,D73)&gt;0.07,"Above Kim 7% alert — approaching 8% hard stop","OK — under 7% alert")))</f>
        <v>OK — under 7% alert</v>
      </c>
      <c r="E74" s="66" t="str">
        <f aca="false">IF(OR(E73="",E66=""),"",IF(MAX(E66,E73)&gt;=0.08,"HARD STOP — occupancy at/above 8% of sales: STOP, CEO sign-off before responding",IF(MAX(E66,E73)&gt;0.07,"Above Kim 7% alert — approaching 8% hard stop","OK — under 7% alert")))</f>
        <v/>
      </c>
      <c r="F74" s="66" t="str">
        <f aca="false">IF(OR(F73="",F66=""),"",IF(MAX(F66,F73)&gt;=0.08,"HARD STOP — occupancy at/above 8% of sales: STOP, CEO sign-off before responding",IF(MAX(F66,F73)&gt;0.07,"Above Kim 7% alert — approaching 8% hard stop","OK — under 7% alert")))</f>
        <v/>
      </c>
      <c r="G74" s="66" t="str">
        <f aca="false">IF(OR(G73="",G66=""),"",IF(MAX(G66,G73)&gt;=0.08,"HARD STOP — occupancy at/above 8% of sales: STOP, CEO sign-off before responding",IF(MAX(G66,G73)&gt;0.07,"Above Kim 7% alert — approaching 8% hard stop","OK — under 7% alert")))</f>
        <v/>
      </c>
      <c r="H74" s="66" t="str">
        <f aca="false">IF(OR(H73="",H66=""),"",IF(MAX(H66,H73)&gt;=0.08,"HARD STOP — occupancy at/above 8% of sales: STOP, CEO sign-off before responding",IF(MAX(H66,H73)&gt;0.07,"Above Kim 7% alert — approaching 8% hard stop","OK — under 7% alert")))</f>
        <v/>
      </c>
    </row>
    <row r="76" customFormat="false" ht="22.35" hidden="false" customHeight="true" outlineLevel="0" collapsed="false">
      <c r="A76" s="68" t="s">
        <v>379</v>
      </c>
      <c r="B76" s="68"/>
      <c r="C76" s="68"/>
      <c r="D76" s="68"/>
      <c r="E76" s="68"/>
      <c r="F76" s="68"/>
      <c r="G76" s="68"/>
      <c r="H76" s="68"/>
      <c r="I76" s="68"/>
      <c r="J76" s="68"/>
    </row>
    <row r="78" customFormat="false" ht="15" hidden="false" customHeight="false" outlineLevel="0" collapsed="false">
      <c r="A78" s="69" t="s">
        <v>380</v>
      </c>
      <c r="B78" s="69"/>
      <c r="C78" s="69"/>
      <c r="D78" s="69"/>
      <c r="E78" s="69"/>
      <c r="F78" s="69"/>
      <c r="G78" s="69"/>
      <c r="H78" s="69"/>
      <c r="I78" s="69"/>
      <c r="J78" s="69"/>
    </row>
    <row r="81" customFormat="false" ht="15" hidden="false" customHeight="false" outlineLevel="0" collapsed="false">
      <c r="A81" s="25" t="s">
        <v>381</v>
      </c>
    </row>
    <row r="82" customFormat="false" ht="15" hidden="false" customHeight="false" outlineLevel="0" collapsed="false">
      <c r="A82" s="69" t="s">
        <v>382</v>
      </c>
      <c r="B82" s="69"/>
      <c r="C82" s="69"/>
      <c r="D82" s="69"/>
      <c r="E82" s="69"/>
      <c r="F82" s="69"/>
      <c r="G82" s="69"/>
      <c r="H82" s="69"/>
      <c r="I82" s="69"/>
      <c r="J82" s="69"/>
      <c r="K82" s="69"/>
      <c r="L82" s="69"/>
      <c r="M82" s="69"/>
      <c r="N82" s="69"/>
      <c r="O82" s="69"/>
      <c r="P82" s="69"/>
      <c r="Q82" s="69"/>
      <c r="R82" s="69"/>
      <c r="S82" s="69"/>
      <c r="T82" s="69"/>
    </row>
    <row r="83" customFormat="false" ht="15" hidden="false" customHeight="true" outlineLevel="0" collapsed="false">
      <c r="A83" s="70" t="s">
        <v>383</v>
      </c>
      <c r="B83" s="70" t="s">
        <v>384</v>
      </c>
      <c r="C83" s="71" t="s">
        <v>385</v>
      </c>
      <c r="D83" s="71"/>
      <c r="E83" s="71"/>
      <c r="F83" s="71" t="s">
        <v>386</v>
      </c>
      <c r="G83" s="71"/>
      <c r="H83" s="71"/>
      <c r="I83" s="71" t="s">
        <v>387</v>
      </c>
      <c r="J83" s="71"/>
      <c r="K83" s="71"/>
      <c r="L83" s="71" t="s">
        <v>388</v>
      </c>
      <c r="M83" s="71"/>
      <c r="N83" s="71"/>
      <c r="O83" s="71" t="s">
        <v>389</v>
      </c>
      <c r="P83" s="71"/>
      <c r="Q83" s="71"/>
      <c r="R83" s="72" t="s">
        <v>390</v>
      </c>
      <c r="S83" s="72"/>
      <c r="T83" s="72"/>
    </row>
    <row r="84" customFormat="false" ht="15" hidden="false" customHeight="false" outlineLevel="0" collapsed="false">
      <c r="A84" s="73"/>
      <c r="B84" s="73"/>
      <c r="C84" s="73" t="s">
        <v>391</v>
      </c>
      <c r="D84" s="73" t="s">
        <v>392</v>
      </c>
      <c r="E84" s="73" t="s">
        <v>393</v>
      </c>
      <c r="F84" s="73" t="s">
        <v>391</v>
      </c>
      <c r="G84" s="73" t="s">
        <v>392</v>
      </c>
      <c r="H84" s="73" t="s">
        <v>393</v>
      </c>
      <c r="I84" s="73" t="s">
        <v>391</v>
      </c>
      <c r="J84" s="73" t="s">
        <v>392</v>
      </c>
      <c r="K84" s="73" t="s">
        <v>393</v>
      </c>
      <c r="L84" s="73" t="s">
        <v>391</v>
      </c>
      <c r="M84" s="73" t="s">
        <v>392</v>
      </c>
      <c r="N84" s="73" t="s">
        <v>393</v>
      </c>
      <c r="O84" s="73" t="s">
        <v>391</v>
      </c>
      <c r="P84" s="73" t="s">
        <v>392</v>
      </c>
      <c r="Q84" s="73" t="s">
        <v>393</v>
      </c>
      <c r="R84" s="73" t="s">
        <v>391</v>
      </c>
      <c r="S84" s="73" t="s">
        <v>392</v>
      </c>
      <c r="T84" s="73" t="s">
        <v>393</v>
      </c>
    </row>
    <row r="85" customFormat="false" ht="15" hidden="false" customHeight="false" outlineLevel="0" collapsed="false">
      <c r="A85" s="74" t="n">
        <v>1</v>
      </c>
      <c r="B85" s="75" t="n">
        <v>2405165</v>
      </c>
      <c r="C85" s="76" t="n">
        <v>120043</v>
      </c>
      <c r="D85" s="76" t="n">
        <v>0</v>
      </c>
      <c r="E85" s="76" t="n">
        <v>120043</v>
      </c>
      <c r="F85" s="75" t="n">
        <f aca="false">IF(D51="","",IF(1&gt;IF(D54="",10,D54),"",D51*(1+IF(D52="",0,D52))^ROUNDDOWN((1-1)/IF(D53="",5,D53),0)))</f>
        <v>120043</v>
      </c>
      <c r="G85" s="75" t="n">
        <f aca="false">IF(F85="","",IF((IF(D61="",IF($D$34="",0,$D$34),D61))=0,0,MAX(0,2405164.68-(IF(D62&lt;&gt;"",D62,IF($D$36&lt;&gt;"",$D$36,IF((IF(D61="",IF($D$34="",0,$D$34),D61))=0,0,D51/(IF(D61="",IF($D$34="",0,$D$34),D61)))))))*(IF(D61="",IF($D$34="",0,$D$34),D61))))</f>
        <v>0</v>
      </c>
      <c r="H85" s="75" t="n">
        <f aca="false">IF(F85="","",F85+G85)</f>
        <v>120043</v>
      </c>
      <c r="I85" s="75" t="str">
        <f aca="false">IF(E51="","",IF(1&gt;IF(E54="",10,E54),"",E51*(1+IF(E52="",0,E52))^ROUNDDOWN((1-1)/IF(E53="",5,E53),0)))</f>
        <v/>
      </c>
      <c r="J85" s="75" t="str">
        <f aca="false">IF(I85="","",IF((IF(E61="",IF($D$34="",0,$D$34),E61))=0,0,MAX(0,2405164.68-(IF(E62&lt;&gt;"",E62,IF($D$36&lt;&gt;"",$D$36,IF((IF(E61="",IF($D$34="",0,$D$34),E61))=0,0,E51/(IF(E61="",IF($D$34="",0,$D$34),E61)))))))*(IF(E61="",IF($D$34="",0,$D$34),E61))))</f>
        <v/>
      </c>
      <c r="K85" s="75" t="str">
        <f aca="false">IF(I85="","",I85+J85)</f>
        <v/>
      </c>
      <c r="L85" s="75" t="str">
        <f aca="false">IF(F51="","",IF(1&gt;IF(F54="",10,F54),"",F51*(1+IF(F52="",0,F52))^ROUNDDOWN((1-1)/IF(F53="",5,F53),0)))</f>
        <v/>
      </c>
      <c r="M85" s="75" t="str">
        <f aca="false">IF(L85="","",IF((IF(F61="",IF($D$34="",0,$D$34),F61))=0,0,MAX(0,2405164.68-(IF(F62&lt;&gt;"",F62,IF($D$36&lt;&gt;"",$D$36,IF((IF(F61="",IF($D$34="",0,$D$34),F61))=0,0,F51/(IF(F61="",IF($D$34="",0,$D$34),F61)))))))*(IF(F61="",IF($D$34="",0,$D$34),F61))))</f>
        <v/>
      </c>
      <c r="N85" s="75" t="str">
        <f aca="false">IF(L85="","",L85+M85)</f>
        <v/>
      </c>
      <c r="O85" s="75" t="str">
        <f aca="false">IF(G51="","",IF(1&gt;IF(G54="",10,G54),"",G51*(1+IF(G52="",0,G52))^ROUNDDOWN((1-1)/IF(G53="",5,G53),0)))</f>
        <v/>
      </c>
      <c r="P85" s="75" t="str">
        <f aca="false">IF(O85="","",IF((IF(G61="",IF($D$34="",0,$D$34),G61))=0,0,MAX(0,2405164.68-(IF(G62&lt;&gt;"",G62,IF($D$36&lt;&gt;"",$D$36,IF((IF(G61="",IF($D$34="",0,$D$34),G61))=0,0,G51/(IF(G61="",IF($D$34="",0,$D$34),G61)))))))*(IF(G61="",IF($D$34="",0,$D$34),G61))))</f>
        <v/>
      </c>
      <c r="Q85" s="75" t="str">
        <f aca="false">IF(O85="","",O85+P85)</f>
        <v/>
      </c>
      <c r="R85" s="75" t="str">
        <f aca="false">IF(H51="","",IF(1&gt;IF(H54="",10,H54),"",H51*(1+IF(H52="",0,H52))^ROUNDDOWN((1-1)/IF(H53="",5,H53),0)))</f>
        <v/>
      </c>
      <c r="S85" s="75" t="str">
        <f aca="false">IF(R85="","",IF((IF(H61="",IF($D$34="",0,$D$34),H61))=0,0,MAX(0,2405164.68-(IF(H62&lt;&gt;"",H62,IF($D$36&lt;&gt;"",$D$36,IF((IF(H61="",IF($D$34="",0,$D$34),H61))=0,0,H51/(IF(H61="",IF($D$34="",0,$D$34),H61)))))))*(IF(H61="",IF($D$34="",0,$D$34),H61))))</f>
        <v/>
      </c>
      <c r="T85" s="75" t="str">
        <f aca="false">IF(R85="","",R85+S85)</f>
        <v/>
      </c>
    </row>
    <row r="86" customFormat="false" ht="15" hidden="false" customHeight="false" outlineLevel="0" collapsed="false">
      <c r="A86" s="74" t="n">
        <v>2</v>
      </c>
      <c r="B86" s="75" t="n">
        <v>2453268</v>
      </c>
      <c r="C86" s="76" t="n">
        <v>120043</v>
      </c>
      <c r="D86" s="76" t="n">
        <v>0</v>
      </c>
      <c r="E86" s="76" t="n">
        <v>120043</v>
      </c>
      <c r="F86" s="75" t="n">
        <f aca="false">IF(D51="","",IF(2&gt;IF(D54="",10,D54),"",D51*(1+IF(D52="",0,D52))^ROUNDDOWN((2-1)/IF(D53="",5,D53),0)))</f>
        <v>120043</v>
      </c>
      <c r="G86" s="75" t="n">
        <f aca="false">IF(F86="","",IF((IF(D61="",IF($D$34="",0,$D$34),D61))=0,0,MAX(0,2453267.97-(IF(D62&lt;&gt;"",D62,IF($D$36&lt;&gt;"",$D$36,IF((IF(D61="",IF($D$34="",0,$D$34),D61))=0,0,D51/(IF(D61="",IF($D$34="",0,$D$34),D61)))))))*(IF(D61="",IF($D$34="",0,$D$34),D61))))</f>
        <v>0</v>
      </c>
      <c r="H86" s="75" t="n">
        <f aca="false">IF(F86="","",F86+G86)</f>
        <v>120043</v>
      </c>
      <c r="I86" s="75" t="str">
        <f aca="false">IF(E51="","",IF(2&gt;IF(E54="",10,E54),"",E51*(1+IF(E52="",0,E52))^ROUNDDOWN((2-1)/IF(E53="",5,E53),0)))</f>
        <v/>
      </c>
      <c r="J86" s="75" t="str">
        <f aca="false">IF(I86="","",IF((IF(E61="",IF($D$34="",0,$D$34),E61))=0,0,MAX(0,2453267.97-(IF(E62&lt;&gt;"",E62,IF($D$36&lt;&gt;"",$D$36,IF((IF(E61="",IF($D$34="",0,$D$34),E61))=0,0,E51/(IF(E61="",IF($D$34="",0,$D$34),E61)))))))*(IF(E61="",IF($D$34="",0,$D$34),E61))))</f>
        <v/>
      </c>
      <c r="K86" s="75" t="str">
        <f aca="false">IF(I86="","",I86+J86)</f>
        <v/>
      </c>
      <c r="L86" s="75" t="str">
        <f aca="false">IF(F51="","",IF(2&gt;IF(F54="",10,F54),"",F51*(1+IF(F52="",0,F52))^ROUNDDOWN((2-1)/IF(F53="",5,F53),0)))</f>
        <v/>
      </c>
      <c r="M86" s="75" t="str">
        <f aca="false">IF(L86="","",IF((IF(F61="",IF($D$34="",0,$D$34),F61))=0,0,MAX(0,2453267.97-(IF(F62&lt;&gt;"",F62,IF($D$36&lt;&gt;"",$D$36,IF((IF(F61="",IF($D$34="",0,$D$34),F61))=0,0,F51/(IF(F61="",IF($D$34="",0,$D$34),F61)))))))*(IF(F61="",IF($D$34="",0,$D$34),F61))))</f>
        <v/>
      </c>
      <c r="N86" s="75" t="str">
        <f aca="false">IF(L86="","",L86+M86)</f>
        <v/>
      </c>
      <c r="O86" s="75" t="str">
        <f aca="false">IF(G51="","",IF(2&gt;IF(G54="",10,G54),"",G51*(1+IF(G52="",0,G52))^ROUNDDOWN((2-1)/IF(G53="",5,G53),0)))</f>
        <v/>
      </c>
      <c r="P86" s="75" t="str">
        <f aca="false">IF(O86="","",IF((IF(G61="",IF($D$34="",0,$D$34),G61))=0,0,MAX(0,2453267.97-(IF(G62&lt;&gt;"",G62,IF($D$36&lt;&gt;"",$D$36,IF((IF(G61="",IF($D$34="",0,$D$34),G61))=0,0,G51/(IF(G61="",IF($D$34="",0,$D$34),G61)))))))*(IF(G61="",IF($D$34="",0,$D$34),G61))))</f>
        <v/>
      </c>
      <c r="Q86" s="75" t="str">
        <f aca="false">IF(O86="","",O86+P86)</f>
        <v/>
      </c>
      <c r="R86" s="75" t="str">
        <f aca="false">IF(H51="","",IF(2&gt;IF(H54="",10,H54),"",H51*(1+IF(H52="",0,H52))^ROUNDDOWN((2-1)/IF(H53="",5,H53),0)))</f>
        <v/>
      </c>
      <c r="S86" s="75" t="str">
        <f aca="false">IF(R86="","",IF((IF(H61="",IF($D$34="",0,$D$34),H61))=0,0,MAX(0,2453267.97-(IF(H62&lt;&gt;"",H62,IF($D$36&lt;&gt;"",$D$36,IF((IF(H61="",IF($D$34="",0,$D$34),H61))=0,0,H51/(IF(H61="",IF($D$34="",0,$D$34),H61)))))))*(IF(H61="",IF($D$34="",0,$D$34),H61))))</f>
        <v/>
      </c>
      <c r="T86" s="75" t="str">
        <f aca="false">IF(R86="","",R86+S86)</f>
        <v/>
      </c>
    </row>
    <row r="87" customFormat="false" ht="15" hidden="false" customHeight="false" outlineLevel="0" collapsed="false">
      <c r="A87" s="74" t="n">
        <v>3</v>
      </c>
      <c r="B87" s="75" t="n">
        <v>2502333</v>
      </c>
      <c r="C87" s="76" t="n">
        <v>120043</v>
      </c>
      <c r="D87" s="76" t="n">
        <v>0</v>
      </c>
      <c r="E87" s="76" t="n">
        <v>120043</v>
      </c>
      <c r="F87" s="75" t="n">
        <f aca="false">IF(D51="","",IF(3&gt;IF(D54="",10,D54),"",D51*(1+IF(D52="",0,D52))^ROUNDDOWN((3-1)/IF(D53="",5,D53),0)))</f>
        <v>120043</v>
      </c>
      <c r="G87" s="75" t="n">
        <f aca="false">IF(F87="","",IF((IF(D61="",IF($D$34="",0,$D$34),D61))=0,0,MAX(0,2502333.33-(IF(D62&lt;&gt;"",D62,IF($D$36&lt;&gt;"",$D$36,IF((IF(D61="",IF($D$34="",0,$D$34),D61))=0,0,D51/(IF(D61="",IF($D$34="",0,$D$34),D61)))))))*(IF(D61="",IF($D$34="",0,$D$34),D61))))</f>
        <v>0</v>
      </c>
      <c r="H87" s="75" t="n">
        <f aca="false">IF(F87="","",F87+G87)</f>
        <v>120043</v>
      </c>
      <c r="I87" s="75" t="str">
        <f aca="false">IF(E51="","",IF(3&gt;IF(E54="",10,E54),"",E51*(1+IF(E52="",0,E52))^ROUNDDOWN((3-1)/IF(E53="",5,E53),0)))</f>
        <v/>
      </c>
      <c r="J87" s="75" t="str">
        <f aca="false">IF(I87="","",IF((IF(E61="",IF($D$34="",0,$D$34),E61))=0,0,MAX(0,2502333.33-(IF(E62&lt;&gt;"",E62,IF($D$36&lt;&gt;"",$D$36,IF((IF(E61="",IF($D$34="",0,$D$34),E61))=0,0,E51/(IF(E61="",IF($D$34="",0,$D$34),E61)))))))*(IF(E61="",IF($D$34="",0,$D$34),E61))))</f>
        <v/>
      </c>
      <c r="K87" s="75" t="str">
        <f aca="false">IF(I87="","",I87+J87)</f>
        <v/>
      </c>
      <c r="L87" s="75" t="str">
        <f aca="false">IF(F51="","",IF(3&gt;IF(F54="",10,F54),"",F51*(1+IF(F52="",0,F52))^ROUNDDOWN((3-1)/IF(F53="",5,F53),0)))</f>
        <v/>
      </c>
      <c r="M87" s="75" t="str">
        <f aca="false">IF(L87="","",IF((IF(F61="",IF($D$34="",0,$D$34),F61))=0,0,MAX(0,2502333.33-(IF(F62&lt;&gt;"",F62,IF($D$36&lt;&gt;"",$D$36,IF((IF(F61="",IF($D$34="",0,$D$34),F61))=0,0,F51/(IF(F61="",IF($D$34="",0,$D$34),F61)))))))*(IF(F61="",IF($D$34="",0,$D$34),F61))))</f>
        <v/>
      </c>
      <c r="N87" s="75" t="str">
        <f aca="false">IF(L87="","",L87+M87)</f>
        <v/>
      </c>
      <c r="O87" s="75" t="str">
        <f aca="false">IF(G51="","",IF(3&gt;IF(G54="",10,G54),"",G51*(1+IF(G52="",0,G52))^ROUNDDOWN((3-1)/IF(G53="",5,G53),0)))</f>
        <v/>
      </c>
      <c r="P87" s="75" t="str">
        <f aca="false">IF(O87="","",IF((IF(G61="",IF($D$34="",0,$D$34),G61))=0,0,MAX(0,2502333.33-(IF(G62&lt;&gt;"",G62,IF($D$36&lt;&gt;"",$D$36,IF((IF(G61="",IF($D$34="",0,$D$34),G61))=0,0,G51/(IF(G61="",IF($D$34="",0,$D$34),G61)))))))*(IF(G61="",IF($D$34="",0,$D$34),G61))))</f>
        <v/>
      </c>
      <c r="Q87" s="75" t="str">
        <f aca="false">IF(O87="","",O87+P87)</f>
        <v/>
      </c>
      <c r="R87" s="75" t="str">
        <f aca="false">IF(H51="","",IF(3&gt;IF(H54="",10,H54),"",H51*(1+IF(H52="",0,H52))^ROUNDDOWN((3-1)/IF(H53="",5,H53),0)))</f>
        <v/>
      </c>
      <c r="S87" s="75" t="str">
        <f aca="false">IF(R87="","",IF((IF(H61="",IF($D$34="",0,$D$34),H61))=0,0,MAX(0,2502333.33-(IF(H62&lt;&gt;"",H62,IF($D$36&lt;&gt;"",$D$36,IF((IF(H61="",IF($D$34="",0,$D$34),H61))=0,0,H51/(IF(H61="",IF($D$34="",0,$D$34),H61)))))))*(IF(H61="",IF($D$34="",0,$D$34),H61))))</f>
        <v/>
      </c>
      <c r="T87" s="75" t="str">
        <f aca="false">IF(R87="","",R87+S87)</f>
        <v/>
      </c>
    </row>
    <row r="88" customFormat="false" ht="15" hidden="false" customHeight="false" outlineLevel="0" collapsed="false">
      <c r="A88" s="74" t="n">
        <v>4</v>
      </c>
      <c r="B88" s="75" t="n">
        <v>2552380</v>
      </c>
      <c r="C88" s="76" t="n">
        <v>120043</v>
      </c>
      <c r="D88" s="76" t="n">
        <v>0</v>
      </c>
      <c r="E88" s="76" t="n">
        <v>120043</v>
      </c>
      <c r="F88" s="75" t="n">
        <f aca="false">IF(D51="","",IF(4&gt;IF(D54="",10,D54),"",D51*(1+IF(D52="",0,D52))^ROUNDDOWN((4-1)/IF(D53="",5,D53),0)))</f>
        <v>120043</v>
      </c>
      <c r="G88" s="75" t="n">
        <f aca="false">IF(F88="","",IF((IF(D61="",IF($D$34="",0,$D$34),D61))=0,0,MAX(0,2552380-(IF(D62&lt;&gt;"",D62,IF($D$36&lt;&gt;"",$D$36,IF((IF(D61="",IF($D$34="",0,$D$34),D61))=0,0,D51/(IF(D61="",IF($D$34="",0,$D$34),D61)))))))*(IF(D61="",IF($D$34="",0,$D$34),D61))))</f>
        <v>0</v>
      </c>
      <c r="H88" s="75" t="n">
        <f aca="false">IF(F88="","",F88+G88)</f>
        <v>120043</v>
      </c>
      <c r="I88" s="75" t="str">
        <f aca="false">IF(E51="","",IF(4&gt;IF(E54="",10,E54),"",E51*(1+IF(E52="",0,E52))^ROUNDDOWN((4-1)/IF(E53="",5,E53),0)))</f>
        <v/>
      </c>
      <c r="J88" s="75" t="str">
        <f aca="false">IF(I88="","",IF((IF(E61="",IF($D$34="",0,$D$34),E61))=0,0,MAX(0,2552380-(IF(E62&lt;&gt;"",E62,IF($D$36&lt;&gt;"",$D$36,IF((IF(E61="",IF($D$34="",0,$D$34),E61))=0,0,E51/(IF(E61="",IF($D$34="",0,$D$34),E61)))))))*(IF(E61="",IF($D$34="",0,$D$34),E61))))</f>
        <v/>
      </c>
      <c r="K88" s="75" t="str">
        <f aca="false">IF(I88="","",I88+J88)</f>
        <v/>
      </c>
      <c r="L88" s="75" t="str">
        <f aca="false">IF(F51="","",IF(4&gt;IF(F54="",10,F54),"",F51*(1+IF(F52="",0,F52))^ROUNDDOWN((4-1)/IF(F53="",5,F53),0)))</f>
        <v/>
      </c>
      <c r="M88" s="75" t="str">
        <f aca="false">IF(L88="","",IF((IF(F61="",IF($D$34="",0,$D$34),F61))=0,0,MAX(0,2552380-(IF(F62&lt;&gt;"",F62,IF($D$36&lt;&gt;"",$D$36,IF((IF(F61="",IF($D$34="",0,$D$34),F61))=0,0,F51/(IF(F61="",IF($D$34="",0,$D$34),F61)))))))*(IF(F61="",IF($D$34="",0,$D$34),F61))))</f>
        <v/>
      </c>
      <c r="N88" s="75" t="str">
        <f aca="false">IF(L88="","",L88+M88)</f>
        <v/>
      </c>
      <c r="O88" s="75" t="str">
        <f aca="false">IF(G51="","",IF(4&gt;IF(G54="",10,G54),"",G51*(1+IF(G52="",0,G52))^ROUNDDOWN((4-1)/IF(G53="",5,G53),0)))</f>
        <v/>
      </c>
      <c r="P88" s="75" t="str">
        <f aca="false">IF(O88="","",IF((IF(G61="",IF($D$34="",0,$D$34),G61))=0,0,MAX(0,2552380-(IF(G62&lt;&gt;"",G62,IF($D$36&lt;&gt;"",$D$36,IF((IF(G61="",IF($D$34="",0,$D$34),G61))=0,0,G51/(IF(G61="",IF($D$34="",0,$D$34),G61)))))))*(IF(G61="",IF($D$34="",0,$D$34),G61))))</f>
        <v/>
      </c>
      <c r="Q88" s="75" t="str">
        <f aca="false">IF(O88="","",O88+P88)</f>
        <v/>
      </c>
      <c r="R88" s="75" t="str">
        <f aca="false">IF(H51="","",IF(4&gt;IF(H54="",10,H54),"",H51*(1+IF(H52="",0,H52))^ROUNDDOWN((4-1)/IF(H53="",5,H53),0)))</f>
        <v/>
      </c>
      <c r="S88" s="75" t="str">
        <f aca="false">IF(R88="","",IF((IF(H61="",IF($D$34="",0,$D$34),H61))=0,0,MAX(0,2552380-(IF(H62&lt;&gt;"",H62,IF($D$36&lt;&gt;"",$D$36,IF((IF(H61="",IF($D$34="",0,$D$34),H61))=0,0,H51/(IF(H61="",IF($D$34="",0,$D$34),H61)))))))*(IF(H61="",IF($D$34="",0,$D$34),H61))))</f>
        <v/>
      </c>
      <c r="T88" s="75" t="str">
        <f aca="false">IF(R88="","",R88+S88)</f>
        <v/>
      </c>
    </row>
    <row r="89" customFormat="false" ht="15" hidden="false" customHeight="false" outlineLevel="0" collapsed="false">
      <c r="A89" s="74" t="n">
        <v>5</v>
      </c>
      <c r="B89" s="75" t="n">
        <v>2603428</v>
      </c>
      <c r="C89" s="76" t="n">
        <v>120043</v>
      </c>
      <c r="D89" s="76" t="n">
        <v>0</v>
      </c>
      <c r="E89" s="76" t="n">
        <v>120043</v>
      </c>
      <c r="F89" s="75" t="n">
        <f aca="false">IF(D51="","",IF(5&gt;IF(D54="",10,D54),"",D51*(1+IF(D52="",0,D52))^ROUNDDOWN((5-1)/IF(D53="",5,D53),0)))</f>
        <v>120043</v>
      </c>
      <c r="G89" s="75" t="n">
        <f aca="false">IF(F89="","",IF((IF(D61="",IF($D$34="",0,$D$34),D61))=0,0,MAX(0,2603427.6-(IF(D62&lt;&gt;"",D62,IF($D$36&lt;&gt;"",$D$36,IF((IF(D61="",IF($D$34="",0,$D$34),D61))=0,0,D51/(IF(D61="",IF($D$34="",0,$D$34),D61)))))))*(IF(D61="",IF($D$34="",0,$D$34),D61))))</f>
        <v>0</v>
      </c>
      <c r="H89" s="75" t="n">
        <f aca="false">IF(F89="","",F89+G89)</f>
        <v>120043</v>
      </c>
      <c r="I89" s="75" t="str">
        <f aca="false">IF(E51="","",IF(5&gt;IF(E54="",10,E54),"",E51*(1+IF(E52="",0,E52))^ROUNDDOWN((5-1)/IF(E53="",5,E53),0)))</f>
        <v/>
      </c>
      <c r="J89" s="75" t="str">
        <f aca="false">IF(I89="","",IF((IF(E61="",IF($D$34="",0,$D$34),E61))=0,0,MAX(0,2603427.6-(IF(E62&lt;&gt;"",E62,IF($D$36&lt;&gt;"",$D$36,IF((IF(E61="",IF($D$34="",0,$D$34),E61))=0,0,E51/(IF(E61="",IF($D$34="",0,$D$34),E61)))))))*(IF(E61="",IF($D$34="",0,$D$34),E61))))</f>
        <v/>
      </c>
      <c r="K89" s="75" t="str">
        <f aca="false">IF(I89="","",I89+J89)</f>
        <v/>
      </c>
      <c r="L89" s="75" t="str">
        <f aca="false">IF(F51="","",IF(5&gt;IF(F54="",10,F54),"",F51*(1+IF(F52="",0,F52))^ROUNDDOWN((5-1)/IF(F53="",5,F53),0)))</f>
        <v/>
      </c>
      <c r="M89" s="75" t="str">
        <f aca="false">IF(L89="","",IF((IF(F61="",IF($D$34="",0,$D$34),F61))=0,0,MAX(0,2603427.6-(IF(F62&lt;&gt;"",F62,IF($D$36&lt;&gt;"",$D$36,IF((IF(F61="",IF($D$34="",0,$D$34),F61))=0,0,F51/(IF(F61="",IF($D$34="",0,$D$34),F61)))))))*(IF(F61="",IF($D$34="",0,$D$34),F61))))</f>
        <v/>
      </c>
      <c r="N89" s="75" t="str">
        <f aca="false">IF(L89="","",L89+M89)</f>
        <v/>
      </c>
      <c r="O89" s="75" t="str">
        <f aca="false">IF(G51="","",IF(5&gt;IF(G54="",10,G54),"",G51*(1+IF(G52="",0,G52))^ROUNDDOWN((5-1)/IF(G53="",5,G53),0)))</f>
        <v/>
      </c>
      <c r="P89" s="75" t="str">
        <f aca="false">IF(O89="","",IF((IF(G61="",IF($D$34="",0,$D$34),G61))=0,0,MAX(0,2603427.6-(IF(G62&lt;&gt;"",G62,IF($D$36&lt;&gt;"",$D$36,IF((IF(G61="",IF($D$34="",0,$D$34),G61))=0,0,G51/(IF(G61="",IF($D$34="",0,$D$34),G61)))))))*(IF(G61="",IF($D$34="",0,$D$34),G61))))</f>
        <v/>
      </c>
      <c r="Q89" s="75" t="str">
        <f aca="false">IF(O89="","",O89+P89)</f>
        <v/>
      </c>
      <c r="R89" s="75" t="str">
        <f aca="false">IF(H51="","",IF(5&gt;IF(H54="",10,H54),"",H51*(1+IF(H52="",0,H52))^ROUNDDOWN((5-1)/IF(H53="",5,H53),0)))</f>
        <v/>
      </c>
      <c r="S89" s="75" t="str">
        <f aca="false">IF(R89="","",IF((IF(H61="",IF($D$34="",0,$D$34),H61))=0,0,MAX(0,2603427.6-(IF(H62&lt;&gt;"",H62,IF($D$36&lt;&gt;"",$D$36,IF((IF(H61="",IF($D$34="",0,$D$34),H61))=0,0,H51/(IF(H61="",IF($D$34="",0,$D$34),H61)))))))*(IF(H61="",IF($D$34="",0,$D$34),H61))))</f>
        <v/>
      </c>
      <c r="T89" s="75" t="str">
        <f aca="false">IF(R89="","",R89+S89)</f>
        <v/>
      </c>
    </row>
    <row r="90" customFormat="false" ht="15" hidden="false" customHeight="false" outlineLevel="0" collapsed="false">
      <c r="A90" s="74" t="n">
        <v>6</v>
      </c>
      <c r="B90" s="75" t="n">
        <v>2655496</v>
      </c>
      <c r="C90" s="76" t="n">
        <v>120043</v>
      </c>
      <c r="D90" s="76" t="n">
        <v>0</v>
      </c>
      <c r="E90" s="76" t="n">
        <v>120043</v>
      </c>
      <c r="F90" s="75" t="n">
        <f aca="false">IF(D51="","",IF(6&gt;IF(D54="",10,D54),"",D51*(1+IF(D52="",0,D52))^ROUNDDOWN((6-1)/IF(D53="",5,D53),0)))</f>
        <v>122443.86</v>
      </c>
      <c r="G90" s="75" t="n">
        <f aca="false">IF(F90="","",IF((IF(D61="",IF($D$34="",0,$D$34),D61))=0,0,MAX(0,2655496.15-(IF(D62&lt;&gt;"",D62,IF($D$36&lt;&gt;"",$D$36,IF((IF(D61="",IF($D$34="",0,$D$34),D61))=0,0,D51/(IF(D61="",IF($D$34="",0,$D$34),D61)))))))*(IF(D61="",IF($D$34="",0,$D$34),D61))))</f>
        <v>0</v>
      </c>
      <c r="H90" s="75" t="n">
        <f aca="false">IF(F90="","",F90+G90)</f>
        <v>122443.86</v>
      </c>
      <c r="I90" s="75" t="str">
        <f aca="false">IF(E51="","",IF(6&gt;IF(E54="",10,E54),"",E51*(1+IF(E52="",0,E52))^ROUNDDOWN((6-1)/IF(E53="",5,E53),0)))</f>
        <v/>
      </c>
      <c r="J90" s="75" t="str">
        <f aca="false">IF(I90="","",IF((IF(E61="",IF($D$34="",0,$D$34),E61))=0,0,MAX(0,2655496.15-(IF(E62&lt;&gt;"",E62,IF($D$36&lt;&gt;"",$D$36,IF((IF(E61="",IF($D$34="",0,$D$34),E61))=0,0,E51/(IF(E61="",IF($D$34="",0,$D$34),E61)))))))*(IF(E61="",IF($D$34="",0,$D$34),E61))))</f>
        <v/>
      </c>
      <c r="K90" s="75" t="str">
        <f aca="false">IF(I90="","",I90+J90)</f>
        <v/>
      </c>
      <c r="L90" s="75" t="str">
        <f aca="false">IF(F51="","",IF(6&gt;IF(F54="",10,F54),"",F51*(1+IF(F52="",0,F52))^ROUNDDOWN((6-1)/IF(F53="",5,F53),0)))</f>
        <v/>
      </c>
      <c r="M90" s="75" t="str">
        <f aca="false">IF(L90="","",IF((IF(F61="",IF($D$34="",0,$D$34),F61))=0,0,MAX(0,2655496.15-(IF(F62&lt;&gt;"",F62,IF($D$36&lt;&gt;"",$D$36,IF((IF(F61="",IF($D$34="",0,$D$34),F61))=0,0,F51/(IF(F61="",IF($D$34="",0,$D$34),F61)))))))*(IF(F61="",IF($D$34="",0,$D$34),F61))))</f>
        <v/>
      </c>
      <c r="N90" s="75" t="str">
        <f aca="false">IF(L90="","",L90+M90)</f>
        <v/>
      </c>
      <c r="O90" s="75" t="str">
        <f aca="false">IF(G51="","",IF(6&gt;IF(G54="",10,G54),"",G51*(1+IF(G52="",0,G52))^ROUNDDOWN((6-1)/IF(G53="",5,G53),0)))</f>
        <v/>
      </c>
      <c r="P90" s="75" t="str">
        <f aca="false">IF(O90="","",IF((IF(G61="",IF($D$34="",0,$D$34),G61))=0,0,MAX(0,2655496.15-(IF(G62&lt;&gt;"",G62,IF($D$36&lt;&gt;"",$D$36,IF((IF(G61="",IF($D$34="",0,$D$34),G61))=0,0,G51/(IF(G61="",IF($D$34="",0,$D$34),G61)))))))*(IF(G61="",IF($D$34="",0,$D$34),G61))))</f>
        <v/>
      </c>
      <c r="Q90" s="75" t="str">
        <f aca="false">IF(O90="","",O90+P90)</f>
        <v/>
      </c>
      <c r="R90" s="75" t="str">
        <f aca="false">IF(H51="","",IF(6&gt;IF(H54="",10,H54),"",H51*(1+IF(H52="",0,H52))^ROUNDDOWN((6-1)/IF(H53="",5,H53),0)))</f>
        <v/>
      </c>
      <c r="S90" s="75" t="str">
        <f aca="false">IF(R90="","",IF((IF(H61="",IF($D$34="",0,$D$34),H61))=0,0,MAX(0,2655496.15-(IF(H62&lt;&gt;"",H62,IF($D$36&lt;&gt;"",$D$36,IF((IF(H61="",IF($D$34="",0,$D$34),H61))=0,0,H51/(IF(H61="",IF($D$34="",0,$D$34),H61)))))))*(IF(H61="",IF($D$34="",0,$D$34),H61))))</f>
        <v/>
      </c>
      <c r="T90" s="75" t="str">
        <f aca="false">IF(R90="","",R90+S90)</f>
        <v/>
      </c>
    </row>
    <row r="91" customFormat="false" ht="15" hidden="false" customHeight="false" outlineLevel="0" collapsed="false">
      <c r="A91" s="74" t="n">
        <v>7</v>
      </c>
      <c r="B91" s="75" t="n">
        <v>2708606</v>
      </c>
      <c r="C91" s="76" t="n">
        <v>120043</v>
      </c>
      <c r="D91" s="76" t="n">
        <v>0</v>
      </c>
      <c r="E91" s="76" t="n">
        <v>120043</v>
      </c>
      <c r="F91" s="75" t="n">
        <f aca="false">IF(D51="","",IF(7&gt;IF(D54="",10,D54),"",D51*(1+IF(D52="",0,D52))^ROUNDDOWN((7-1)/IF(D53="",5,D53),0)))</f>
        <v>122443.86</v>
      </c>
      <c r="G91" s="75" t="n">
        <f aca="false">IF(F91="","",IF((IF(D61="",IF($D$34="",0,$D$34),D61))=0,0,MAX(0,2708606.07-(IF(D62&lt;&gt;"",D62,IF($D$36&lt;&gt;"",$D$36,IF((IF(D61="",IF($D$34="",0,$D$34),D61))=0,0,D51/(IF(D61="",IF($D$34="",0,$D$34),D61)))))))*(IF(D61="",IF($D$34="",0,$D$34),D61))))</f>
        <v>0</v>
      </c>
      <c r="H91" s="75" t="n">
        <f aca="false">IF(F91="","",F91+G91)</f>
        <v>122443.86</v>
      </c>
      <c r="I91" s="75" t="str">
        <f aca="false">IF(E51="","",IF(7&gt;IF(E54="",10,E54),"",E51*(1+IF(E52="",0,E52))^ROUNDDOWN((7-1)/IF(E53="",5,E53),0)))</f>
        <v/>
      </c>
      <c r="J91" s="75" t="str">
        <f aca="false">IF(I91="","",IF((IF(E61="",IF($D$34="",0,$D$34),E61))=0,0,MAX(0,2708606.07-(IF(E62&lt;&gt;"",E62,IF($D$36&lt;&gt;"",$D$36,IF((IF(E61="",IF($D$34="",0,$D$34),E61))=0,0,E51/(IF(E61="",IF($D$34="",0,$D$34),E61)))))))*(IF(E61="",IF($D$34="",0,$D$34),E61))))</f>
        <v/>
      </c>
      <c r="K91" s="75" t="str">
        <f aca="false">IF(I91="","",I91+J91)</f>
        <v/>
      </c>
      <c r="L91" s="75" t="str">
        <f aca="false">IF(F51="","",IF(7&gt;IF(F54="",10,F54),"",F51*(1+IF(F52="",0,F52))^ROUNDDOWN((7-1)/IF(F53="",5,F53),0)))</f>
        <v/>
      </c>
      <c r="M91" s="75" t="str">
        <f aca="false">IF(L91="","",IF((IF(F61="",IF($D$34="",0,$D$34),F61))=0,0,MAX(0,2708606.07-(IF(F62&lt;&gt;"",F62,IF($D$36&lt;&gt;"",$D$36,IF((IF(F61="",IF($D$34="",0,$D$34),F61))=0,0,F51/(IF(F61="",IF($D$34="",0,$D$34),F61)))))))*(IF(F61="",IF($D$34="",0,$D$34),F61))))</f>
        <v/>
      </c>
      <c r="N91" s="75" t="str">
        <f aca="false">IF(L91="","",L91+M91)</f>
        <v/>
      </c>
      <c r="O91" s="75" t="str">
        <f aca="false">IF(G51="","",IF(7&gt;IF(G54="",10,G54),"",G51*(1+IF(G52="",0,G52))^ROUNDDOWN((7-1)/IF(G53="",5,G53),0)))</f>
        <v/>
      </c>
      <c r="P91" s="75" t="str">
        <f aca="false">IF(O91="","",IF((IF(G61="",IF($D$34="",0,$D$34),G61))=0,0,MAX(0,2708606.07-(IF(G62&lt;&gt;"",G62,IF($D$36&lt;&gt;"",$D$36,IF((IF(G61="",IF($D$34="",0,$D$34),G61))=0,0,G51/(IF(G61="",IF($D$34="",0,$D$34),G61)))))))*(IF(G61="",IF($D$34="",0,$D$34),G61))))</f>
        <v/>
      </c>
      <c r="Q91" s="75" t="str">
        <f aca="false">IF(O91="","",O91+P91)</f>
        <v/>
      </c>
      <c r="R91" s="75" t="str">
        <f aca="false">IF(H51="","",IF(7&gt;IF(H54="",10,H54),"",H51*(1+IF(H52="",0,H52))^ROUNDDOWN((7-1)/IF(H53="",5,H53),0)))</f>
        <v/>
      </c>
      <c r="S91" s="75" t="str">
        <f aca="false">IF(R91="","",IF((IF(H61="",IF($D$34="",0,$D$34),H61))=0,0,MAX(0,2708606.07-(IF(H62&lt;&gt;"",H62,IF($D$36&lt;&gt;"",$D$36,IF((IF(H61="",IF($D$34="",0,$D$34),H61))=0,0,H51/(IF(H61="",IF($D$34="",0,$D$34),H61)))))))*(IF(H61="",IF($D$34="",0,$D$34),H61))))</f>
        <v/>
      </c>
      <c r="T91" s="75" t="str">
        <f aca="false">IF(R91="","",R91+S91)</f>
        <v/>
      </c>
    </row>
    <row r="92" customFormat="false" ht="15" hidden="false" customHeight="false" outlineLevel="0" collapsed="false">
      <c r="A92" s="74" t="n">
        <v>8</v>
      </c>
      <c r="B92" s="75" t="n">
        <v>2762778</v>
      </c>
      <c r="C92" s="76" t="n">
        <v>120043</v>
      </c>
      <c r="D92" s="76" t="n">
        <v>0</v>
      </c>
      <c r="E92" s="76" t="n">
        <v>120043</v>
      </c>
      <c r="F92" s="75" t="n">
        <f aca="false">IF(D51="","",IF(8&gt;IF(D54="",10,D54),"",D51*(1+IF(D52="",0,D52))^ROUNDDOWN((8-1)/IF(D53="",5,D53),0)))</f>
        <v>122443.86</v>
      </c>
      <c r="G92" s="75" t="n">
        <f aca="false">IF(F92="","",IF((IF(D61="",IF($D$34="",0,$D$34),D61))=0,0,MAX(0,2762778.2-(IF(D62&lt;&gt;"",D62,IF($D$36&lt;&gt;"",$D$36,IF((IF(D61="",IF($D$34="",0,$D$34),D61))=0,0,D51/(IF(D61="",IF($D$34="",0,$D$34),D61)))))))*(IF(D61="",IF($D$34="",0,$D$34),D61))))</f>
        <v>0</v>
      </c>
      <c r="H92" s="75" t="n">
        <f aca="false">IF(F92="","",F92+G92)</f>
        <v>122443.86</v>
      </c>
      <c r="I92" s="75" t="str">
        <f aca="false">IF(E51="","",IF(8&gt;IF(E54="",10,E54),"",E51*(1+IF(E52="",0,E52))^ROUNDDOWN((8-1)/IF(E53="",5,E53),0)))</f>
        <v/>
      </c>
      <c r="J92" s="75" t="str">
        <f aca="false">IF(I92="","",IF((IF(E61="",IF($D$34="",0,$D$34),E61))=0,0,MAX(0,2762778.2-(IF(E62&lt;&gt;"",E62,IF($D$36&lt;&gt;"",$D$36,IF((IF(E61="",IF($D$34="",0,$D$34),E61))=0,0,E51/(IF(E61="",IF($D$34="",0,$D$34),E61)))))))*(IF(E61="",IF($D$34="",0,$D$34),E61))))</f>
        <v/>
      </c>
      <c r="K92" s="75" t="str">
        <f aca="false">IF(I92="","",I92+J92)</f>
        <v/>
      </c>
      <c r="L92" s="75" t="str">
        <f aca="false">IF(F51="","",IF(8&gt;IF(F54="",10,F54),"",F51*(1+IF(F52="",0,F52))^ROUNDDOWN((8-1)/IF(F53="",5,F53),0)))</f>
        <v/>
      </c>
      <c r="M92" s="75" t="str">
        <f aca="false">IF(L92="","",IF((IF(F61="",IF($D$34="",0,$D$34),F61))=0,0,MAX(0,2762778.2-(IF(F62&lt;&gt;"",F62,IF($D$36&lt;&gt;"",$D$36,IF((IF(F61="",IF($D$34="",0,$D$34),F61))=0,0,F51/(IF(F61="",IF($D$34="",0,$D$34),F61)))))))*(IF(F61="",IF($D$34="",0,$D$34),F61))))</f>
        <v/>
      </c>
      <c r="N92" s="75" t="str">
        <f aca="false">IF(L92="","",L92+M92)</f>
        <v/>
      </c>
      <c r="O92" s="75" t="str">
        <f aca="false">IF(G51="","",IF(8&gt;IF(G54="",10,G54),"",G51*(1+IF(G52="",0,G52))^ROUNDDOWN((8-1)/IF(G53="",5,G53),0)))</f>
        <v/>
      </c>
      <c r="P92" s="75" t="str">
        <f aca="false">IF(O92="","",IF((IF(G61="",IF($D$34="",0,$D$34),G61))=0,0,MAX(0,2762778.2-(IF(G62&lt;&gt;"",G62,IF($D$36&lt;&gt;"",$D$36,IF((IF(G61="",IF($D$34="",0,$D$34),G61))=0,0,G51/(IF(G61="",IF($D$34="",0,$D$34),G61)))))))*(IF(G61="",IF($D$34="",0,$D$34),G61))))</f>
        <v/>
      </c>
      <c r="Q92" s="75" t="str">
        <f aca="false">IF(O92="","",O92+P92)</f>
        <v/>
      </c>
      <c r="R92" s="75" t="str">
        <f aca="false">IF(H51="","",IF(8&gt;IF(H54="",10,H54),"",H51*(1+IF(H52="",0,H52))^ROUNDDOWN((8-1)/IF(H53="",5,H53),0)))</f>
        <v/>
      </c>
      <c r="S92" s="75" t="str">
        <f aca="false">IF(R92="","",IF((IF(H61="",IF($D$34="",0,$D$34),H61))=0,0,MAX(0,2762778.2-(IF(H62&lt;&gt;"",H62,IF($D$36&lt;&gt;"",$D$36,IF((IF(H61="",IF($D$34="",0,$D$34),H61))=0,0,H51/(IF(H61="",IF($D$34="",0,$D$34),H61)))))))*(IF(H61="",IF($D$34="",0,$D$34),H61))))</f>
        <v/>
      </c>
      <c r="T92" s="75" t="str">
        <f aca="false">IF(R92="","",R92+S92)</f>
        <v/>
      </c>
    </row>
    <row r="93" customFormat="false" ht="15" hidden="false" customHeight="false" outlineLevel="0" collapsed="false">
      <c r="A93" s="74" t="n">
        <v>9</v>
      </c>
      <c r="B93" s="75" t="n">
        <v>2818034</v>
      </c>
      <c r="C93" s="76" t="n">
        <v>120043</v>
      </c>
      <c r="D93" s="76" t="n">
        <v>0</v>
      </c>
      <c r="E93" s="76" t="n">
        <v>120043</v>
      </c>
      <c r="F93" s="75" t="n">
        <f aca="false">IF(D51="","",IF(9&gt;IF(D54="",10,D54),"",D51*(1+IF(D52="",0,D52))^ROUNDDOWN((9-1)/IF(D53="",5,D53),0)))</f>
        <v>122443.86</v>
      </c>
      <c r="G93" s="75" t="n">
        <f aca="false">IF(F93="","",IF((IF(D61="",IF($D$34="",0,$D$34),D61))=0,0,MAX(0,2818033.76-(IF(D62&lt;&gt;"",D62,IF($D$36&lt;&gt;"",$D$36,IF((IF(D61="",IF($D$34="",0,$D$34),D61))=0,0,D51/(IF(D61="",IF($D$34="",0,$D$34),D61)))))))*(IF(D61="",IF($D$34="",0,$D$34),D61))))</f>
        <v>0</v>
      </c>
      <c r="H93" s="75" t="n">
        <f aca="false">IF(F93="","",F93+G93)</f>
        <v>122443.86</v>
      </c>
      <c r="I93" s="75" t="str">
        <f aca="false">IF(E51="","",IF(9&gt;IF(E54="",10,E54),"",E51*(1+IF(E52="",0,E52))^ROUNDDOWN((9-1)/IF(E53="",5,E53),0)))</f>
        <v/>
      </c>
      <c r="J93" s="75" t="str">
        <f aca="false">IF(I93="","",IF((IF(E61="",IF($D$34="",0,$D$34),E61))=0,0,MAX(0,2818033.76-(IF(E62&lt;&gt;"",E62,IF($D$36&lt;&gt;"",$D$36,IF((IF(E61="",IF($D$34="",0,$D$34),E61))=0,0,E51/(IF(E61="",IF($D$34="",0,$D$34),E61)))))))*(IF(E61="",IF($D$34="",0,$D$34),E61))))</f>
        <v/>
      </c>
      <c r="K93" s="75" t="str">
        <f aca="false">IF(I93="","",I93+J93)</f>
        <v/>
      </c>
      <c r="L93" s="75" t="str">
        <f aca="false">IF(F51="","",IF(9&gt;IF(F54="",10,F54),"",F51*(1+IF(F52="",0,F52))^ROUNDDOWN((9-1)/IF(F53="",5,F53),0)))</f>
        <v/>
      </c>
      <c r="M93" s="75" t="str">
        <f aca="false">IF(L93="","",IF((IF(F61="",IF($D$34="",0,$D$34),F61))=0,0,MAX(0,2818033.76-(IF(F62&lt;&gt;"",F62,IF($D$36&lt;&gt;"",$D$36,IF((IF(F61="",IF($D$34="",0,$D$34),F61))=0,0,F51/(IF(F61="",IF($D$34="",0,$D$34),F61)))))))*(IF(F61="",IF($D$34="",0,$D$34),F61))))</f>
        <v/>
      </c>
      <c r="N93" s="75" t="str">
        <f aca="false">IF(L93="","",L93+M93)</f>
        <v/>
      </c>
      <c r="O93" s="75" t="str">
        <f aca="false">IF(G51="","",IF(9&gt;IF(G54="",10,G54),"",G51*(1+IF(G52="",0,G52))^ROUNDDOWN((9-1)/IF(G53="",5,G53),0)))</f>
        <v/>
      </c>
      <c r="P93" s="75" t="str">
        <f aca="false">IF(O93="","",IF((IF(G61="",IF($D$34="",0,$D$34),G61))=0,0,MAX(0,2818033.76-(IF(G62&lt;&gt;"",G62,IF($D$36&lt;&gt;"",$D$36,IF((IF(G61="",IF($D$34="",0,$D$34),G61))=0,0,G51/(IF(G61="",IF($D$34="",0,$D$34),G61)))))))*(IF(G61="",IF($D$34="",0,$D$34),G61))))</f>
        <v/>
      </c>
      <c r="Q93" s="75" t="str">
        <f aca="false">IF(O93="","",O93+P93)</f>
        <v/>
      </c>
      <c r="R93" s="75" t="str">
        <f aca="false">IF(H51="","",IF(9&gt;IF(H54="",10,H54),"",H51*(1+IF(H52="",0,H52))^ROUNDDOWN((9-1)/IF(H53="",5,H53),0)))</f>
        <v/>
      </c>
      <c r="S93" s="75" t="str">
        <f aca="false">IF(R93="","",IF((IF(H61="",IF($D$34="",0,$D$34),H61))=0,0,MAX(0,2818033.76-(IF(H62&lt;&gt;"",H62,IF($D$36&lt;&gt;"",$D$36,IF((IF(H61="",IF($D$34="",0,$D$34),H61))=0,0,H51/(IF(H61="",IF($D$34="",0,$D$34),H61)))))))*(IF(H61="",IF($D$34="",0,$D$34),H61))))</f>
        <v/>
      </c>
      <c r="T93" s="75" t="str">
        <f aca="false">IF(R93="","",R93+S93)</f>
        <v/>
      </c>
    </row>
    <row r="94" customFormat="false" ht="15" hidden="false" customHeight="false" outlineLevel="0" collapsed="false">
      <c r="A94" s="74" t="n">
        <v>10</v>
      </c>
      <c r="B94" s="75" t="n">
        <v>2874394</v>
      </c>
      <c r="C94" s="76" t="n">
        <v>120043</v>
      </c>
      <c r="D94" s="76" t="n">
        <v>0</v>
      </c>
      <c r="E94" s="76" t="n">
        <v>120043</v>
      </c>
      <c r="F94" s="75" t="n">
        <f aca="false">IF(D51="","",IF(10&gt;IF(D54="",10,D54),"",D51*(1+IF(D52="",0,D52))^ROUNDDOWN((10-1)/IF(D53="",5,D53),0)))</f>
        <v>122443.86</v>
      </c>
      <c r="G94" s="75" t="n">
        <f aca="false">IF(F94="","",IF((IF(D61="",IF($D$34="",0,$D$34),D61))=0,0,MAX(0,2874394.44-(IF(D62&lt;&gt;"",D62,IF($D$36&lt;&gt;"",$D$36,IF((IF(D61="",IF($D$34="",0,$D$34),D61))=0,0,D51/(IF(D61="",IF($D$34="",0,$D$34),D61)))))))*(IF(D61="",IF($D$34="",0,$D$34),D61))))</f>
        <v>0</v>
      </c>
      <c r="H94" s="75" t="n">
        <f aca="false">IF(F94="","",F94+G94)</f>
        <v>122443.86</v>
      </c>
      <c r="I94" s="75" t="str">
        <f aca="false">IF(E51="","",IF(10&gt;IF(E54="",10,E54),"",E51*(1+IF(E52="",0,E52))^ROUNDDOWN((10-1)/IF(E53="",5,E53),0)))</f>
        <v/>
      </c>
      <c r="J94" s="75" t="str">
        <f aca="false">IF(I94="","",IF((IF(E61="",IF($D$34="",0,$D$34),E61))=0,0,MAX(0,2874394.44-(IF(E62&lt;&gt;"",E62,IF($D$36&lt;&gt;"",$D$36,IF((IF(E61="",IF($D$34="",0,$D$34),E61))=0,0,E51/(IF(E61="",IF($D$34="",0,$D$34),E61)))))))*(IF(E61="",IF($D$34="",0,$D$34),E61))))</f>
        <v/>
      </c>
      <c r="K94" s="75" t="str">
        <f aca="false">IF(I94="","",I94+J94)</f>
        <v/>
      </c>
      <c r="L94" s="75" t="str">
        <f aca="false">IF(F51="","",IF(10&gt;IF(F54="",10,F54),"",F51*(1+IF(F52="",0,F52))^ROUNDDOWN((10-1)/IF(F53="",5,F53),0)))</f>
        <v/>
      </c>
      <c r="M94" s="75" t="str">
        <f aca="false">IF(L94="","",IF((IF(F61="",IF($D$34="",0,$D$34),F61))=0,0,MAX(0,2874394.44-(IF(F62&lt;&gt;"",F62,IF($D$36&lt;&gt;"",$D$36,IF((IF(F61="",IF($D$34="",0,$D$34),F61))=0,0,F51/(IF(F61="",IF($D$34="",0,$D$34),F61)))))))*(IF(F61="",IF($D$34="",0,$D$34),F61))))</f>
        <v/>
      </c>
      <c r="N94" s="75" t="str">
        <f aca="false">IF(L94="","",L94+M94)</f>
        <v/>
      </c>
      <c r="O94" s="75" t="str">
        <f aca="false">IF(G51="","",IF(10&gt;IF(G54="",10,G54),"",G51*(1+IF(G52="",0,G52))^ROUNDDOWN((10-1)/IF(G53="",5,G53),0)))</f>
        <v/>
      </c>
      <c r="P94" s="75" t="str">
        <f aca="false">IF(O94="","",IF((IF(G61="",IF($D$34="",0,$D$34),G61))=0,0,MAX(0,2874394.44-(IF(G62&lt;&gt;"",G62,IF($D$36&lt;&gt;"",$D$36,IF((IF(G61="",IF($D$34="",0,$D$34),G61))=0,0,G51/(IF(G61="",IF($D$34="",0,$D$34),G61)))))))*(IF(G61="",IF($D$34="",0,$D$34),G61))))</f>
        <v/>
      </c>
      <c r="Q94" s="75" t="str">
        <f aca="false">IF(O94="","",O94+P94)</f>
        <v/>
      </c>
      <c r="R94" s="75" t="str">
        <f aca="false">IF(H51="","",IF(10&gt;IF(H54="",10,H54),"",H51*(1+IF(H52="",0,H52))^ROUNDDOWN((10-1)/IF(H53="",5,H53),0)))</f>
        <v/>
      </c>
      <c r="S94" s="75" t="str">
        <f aca="false">IF(R94="","",IF((IF(H61="",IF($D$34="",0,$D$34),H61))=0,0,MAX(0,2874394.44-(IF(H62&lt;&gt;"",H62,IF($D$36&lt;&gt;"",$D$36,IF((IF(H61="",IF($D$34="",0,$D$34),H61))=0,0,H51/(IF(H61="",IF($D$34="",0,$D$34),H61)))))))*(IF(H61="",IF($D$34="",0,$D$34),H61))))</f>
        <v/>
      </c>
      <c r="T94" s="75" t="str">
        <f aca="false">IF(R94="","",R94+S94)</f>
        <v/>
      </c>
    </row>
    <row r="95" customFormat="false" ht="15" hidden="false" customHeight="false" outlineLevel="0" collapsed="false">
      <c r="A95" s="74" t="n">
        <v>11</v>
      </c>
      <c r="B95" s="75" t="n">
        <v>2931882</v>
      </c>
      <c r="C95" s="76" t="n">
        <v>120043</v>
      </c>
      <c r="D95" s="76" t="n">
        <v>0</v>
      </c>
      <c r="E95" s="76" t="n">
        <v>120043</v>
      </c>
      <c r="F95" s="75" t="n">
        <f aca="false">IF(D51="","",IF(11&gt;IF(D54="",10,D54),"",D51*(1+IF(D52="",0,D52))^ROUNDDOWN((11-1)/IF(D53="",5,D53),0)))</f>
        <v>124892.7372</v>
      </c>
      <c r="G95" s="75" t="n">
        <f aca="false">IF(F95="","",IF((IF(D61="",IF($D$34="",0,$D$34),D61))=0,0,MAX(0,2931882.32-(IF(D62&lt;&gt;"",D62,IF($D$36&lt;&gt;"",$D$36,IF((IF(D61="",IF($D$34="",0,$D$34),D61))=0,0,D51/(IF(D61="",IF($D$34="",0,$D$34),D61)))))))*(IF(D61="",IF($D$34="",0,$D$34),D61))))</f>
        <v>0</v>
      </c>
      <c r="H95" s="75" t="n">
        <f aca="false">IF(F95="","",F95+G95)</f>
        <v>124892.7372</v>
      </c>
      <c r="I95" s="75" t="str">
        <f aca="false">IF(E51="","",IF(11&gt;IF(E54="",10,E54),"",E51*(1+IF(E52="",0,E52))^ROUNDDOWN((11-1)/IF(E53="",5,E53),0)))</f>
        <v/>
      </c>
      <c r="J95" s="75" t="str">
        <f aca="false">IF(I95="","",IF((IF(E61="",IF($D$34="",0,$D$34),E61))=0,0,MAX(0,2931882.32-(IF(E62&lt;&gt;"",E62,IF($D$36&lt;&gt;"",$D$36,IF((IF(E61="",IF($D$34="",0,$D$34),E61))=0,0,E51/(IF(E61="",IF($D$34="",0,$D$34),E61)))))))*(IF(E61="",IF($D$34="",0,$D$34),E61))))</f>
        <v/>
      </c>
      <c r="K95" s="75" t="str">
        <f aca="false">IF(I95="","",I95+J95)</f>
        <v/>
      </c>
      <c r="L95" s="75" t="str">
        <f aca="false">IF(F51="","",IF(11&gt;IF(F54="",10,F54),"",F51*(1+IF(F52="",0,F52))^ROUNDDOWN((11-1)/IF(F53="",5,F53),0)))</f>
        <v/>
      </c>
      <c r="M95" s="75" t="str">
        <f aca="false">IF(L95="","",IF((IF(F61="",IF($D$34="",0,$D$34),F61))=0,0,MAX(0,2931882.32-(IF(F62&lt;&gt;"",F62,IF($D$36&lt;&gt;"",$D$36,IF((IF(F61="",IF($D$34="",0,$D$34),F61))=0,0,F51/(IF(F61="",IF($D$34="",0,$D$34),F61)))))))*(IF(F61="",IF($D$34="",0,$D$34),F61))))</f>
        <v/>
      </c>
      <c r="N95" s="75" t="str">
        <f aca="false">IF(L95="","",L95+M95)</f>
        <v/>
      </c>
      <c r="O95" s="75" t="str">
        <f aca="false">IF(G51="","",IF(11&gt;IF(G54="",10,G54),"",G51*(1+IF(G52="",0,G52))^ROUNDDOWN((11-1)/IF(G53="",5,G53),0)))</f>
        <v/>
      </c>
      <c r="P95" s="75" t="str">
        <f aca="false">IF(O95="","",IF((IF(G61="",IF($D$34="",0,$D$34),G61))=0,0,MAX(0,2931882.32-(IF(G62&lt;&gt;"",G62,IF($D$36&lt;&gt;"",$D$36,IF((IF(G61="",IF($D$34="",0,$D$34),G61))=0,0,G51/(IF(G61="",IF($D$34="",0,$D$34),G61)))))))*(IF(G61="",IF($D$34="",0,$D$34),G61))))</f>
        <v/>
      </c>
      <c r="Q95" s="75" t="str">
        <f aca="false">IF(O95="","",O95+P95)</f>
        <v/>
      </c>
      <c r="R95" s="75" t="str">
        <f aca="false">IF(H51="","",IF(11&gt;IF(H54="",10,H54),"",H51*(1+IF(H52="",0,H52))^ROUNDDOWN((11-1)/IF(H53="",5,H53),0)))</f>
        <v/>
      </c>
      <c r="S95" s="75" t="str">
        <f aca="false">IF(R95="","",IF((IF(H61="",IF($D$34="",0,$D$34),H61))=0,0,MAX(0,2931882.32-(IF(H62&lt;&gt;"",H62,IF($D$36&lt;&gt;"",$D$36,IF((IF(H61="",IF($D$34="",0,$D$34),H61))=0,0,H51/(IF(H61="",IF($D$34="",0,$D$34),H61)))))))*(IF(H61="",IF($D$34="",0,$D$34),H61))))</f>
        <v/>
      </c>
      <c r="T95" s="75" t="str">
        <f aca="false">IF(R95="","",R95+S95)</f>
        <v/>
      </c>
    </row>
    <row r="96" customFormat="false" ht="15" hidden="false" customHeight="false" outlineLevel="0" collapsed="false">
      <c r="A96" s="74" t="n">
        <v>12</v>
      </c>
      <c r="B96" s="75" t="n">
        <v>2990520</v>
      </c>
      <c r="C96" s="76" t="n">
        <v>120043</v>
      </c>
      <c r="D96" s="76" t="n">
        <v>0</v>
      </c>
      <c r="E96" s="76" t="n">
        <v>120043</v>
      </c>
      <c r="F96" s="75" t="n">
        <f aca="false">IF(D51="","",IF(12&gt;IF(D54="",10,D54),"",D51*(1+IF(D52="",0,D52))^ROUNDDOWN((12-1)/IF(D53="",5,D53),0)))</f>
        <v>124892.7372</v>
      </c>
      <c r="G96" s="75" t="n">
        <f aca="false">IF(F96="","",IF((IF(D61="",IF($D$34="",0,$D$34),D61))=0,0,MAX(0,2990519.97-(IF(D62&lt;&gt;"",D62,IF($D$36&lt;&gt;"",$D$36,IF((IF(D61="",IF($D$34="",0,$D$34),D61))=0,0,D51/(IF(D61="",IF($D$34="",0,$D$34),D61)))))))*(IF(D61="",IF($D$34="",0,$D$34),D61))))</f>
        <v>0</v>
      </c>
      <c r="H96" s="75" t="n">
        <f aca="false">IF(F96="","",F96+G96)</f>
        <v>124892.7372</v>
      </c>
      <c r="I96" s="75" t="str">
        <f aca="false">IF(E51="","",IF(12&gt;IF(E54="",10,E54),"",E51*(1+IF(E52="",0,E52))^ROUNDDOWN((12-1)/IF(E53="",5,E53),0)))</f>
        <v/>
      </c>
      <c r="J96" s="75" t="str">
        <f aca="false">IF(I96="","",IF((IF(E61="",IF($D$34="",0,$D$34),E61))=0,0,MAX(0,2990519.97-(IF(E62&lt;&gt;"",E62,IF($D$36&lt;&gt;"",$D$36,IF((IF(E61="",IF($D$34="",0,$D$34),E61))=0,0,E51/(IF(E61="",IF($D$34="",0,$D$34),E61)))))))*(IF(E61="",IF($D$34="",0,$D$34),E61))))</f>
        <v/>
      </c>
      <c r="K96" s="75" t="str">
        <f aca="false">IF(I96="","",I96+J96)</f>
        <v/>
      </c>
      <c r="L96" s="75" t="str">
        <f aca="false">IF(F51="","",IF(12&gt;IF(F54="",10,F54),"",F51*(1+IF(F52="",0,F52))^ROUNDDOWN((12-1)/IF(F53="",5,F53),0)))</f>
        <v/>
      </c>
      <c r="M96" s="75" t="str">
        <f aca="false">IF(L96="","",IF((IF(F61="",IF($D$34="",0,$D$34),F61))=0,0,MAX(0,2990519.97-(IF(F62&lt;&gt;"",F62,IF($D$36&lt;&gt;"",$D$36,IF((IF(F61="",IF($D$34="",0,$D$34),F61))=0,0,F51/(IF(F61="",IF($D$34="",0,$D$34),F61)))))))*(IF(F61="",IF($D$34="",0,$D$34),F61))))</f>
        <v/>
      </c>
      <c r="N96" s="75" t="str">
        <f aca="false">IF(L96="","",L96+M96)</f>
        <v/>
      </c>
      <c r="O96" s="75" t="str">
        <f aca="false">IF(G51="","",IF(12&gt;IF(G54="",10,G54),"",G51*(1+IF(G52="",0,G52))^ROUNDDOWN((12-1)/IF(G53="",5,G53),0)))</f>
        <v/>
      </c>
      <c r="P96" s="75" t="str">
        <f aca="false">IF(O96="","",IF((IF(G61="",IF($D$34="",0,$D$34),G61))=0,0,MAX(0,2990519.97-(IF(G62&lt;&gt;"",G62,IF($D$36&lt;&gt;"",$D$36,IF((IF(G61="",IF($D$34="",0,$D$34),G61))=0,0,G51/(IF(G61="",IF($D$34="",0,$D$34),G61)))))))*(IF(G61="",IF($D$34="",0,$D$34),G61))))</f>
        <v/>
      </c>
      <c r="Q96" s="75" t="str">
        <f aca="false">IF(O96="","",O96+P96)</f>
        <v/>
      </c>
      <c r="R96" s="75" t="str">
        <f aca="false">IF(H51="","",IF(12&gt;IF(H54="",10,H54),"",H51*(1+IF(H52="",0,H52))^ROUNDDOWN((12-1)/IF(H53="",5,H53),0)))</f>
        <v/>
      </c>
      <c r="S96" s="75" t="str">
        <f aca="false">IF(R96="","",IF((IF(H61="",IF($D$34="",0,$D$34),H61))=0,0,MAX(0,2990519.97-(IF(H62&lt;&gt;"",H62,IF($D$36&lt;&gt;"",$D$36,IF((IF(H61="",IF($D$34="",0,$D$34),H61))=0,0,H51/(IF(H61="",IF($D$34="",0,$D$34),H61)))))))*(IF(H61="",IF($D$34="",0,$D$34),H61))))</f>
        <v/>
      </c>
      <c r="T96" s="75" t="str">
        <f aca="false">IF(R96="","",R96+S96)</f>
        <v/>
      </c>
    </row>
    <row r="97" customFormat="false" ht="15" hidden="false" customHeight="false" outlineLevel="0" collapsed="false">
      <c r="A97" s="74" t="n">
        <v>13</v>
      </c>
      <c r="B97" s="75" t="n">
        <v>3050330</v>
      </c>
      <c r="C97" s="76" t="n">
        <v>120043</v>
      </c>
      <c r="D97" s="76" t="n">
        <v>0</v>
      </c>
      <c r="E97" s="76" t="n">
        <v>120043</v>
      </c>
      <c r="F97" s="75" t="n">
        <f aca="false">IF(D51="","",IF(13&gt;IF(D54="",10,D54),"",D51*(1+IF(D52="",0,D52))^ROUNDDOWN((13-1)/IF(D53="",5,D53),0)))</f>
        <v>124892.7372</v>
      </c>
      <c r="G97" s="75" t="n">
        <f aca="false">IF(F97="","",IF((IF(D61="",IF($D$34="",0,$D$34),D61))=0,0,MAX(0,3050330.37-(IF(D62&lt;&gt;"",D62,IF($D$36&lt;&gt;"",$D$36,IF((IF(D61="",IF($D$34="",0,$D$34),D61))=0,0,D51/(IF(D61="",IF($D$34="",0,$D$34),D61)))))))*(IF(D61="",IF($D$34="",0,$D$34),D61))))</f>
        <v>0</v>
      </c>
      <c r="H97" s="75" t="n">
        <f aca="false">IF(F97="","",F97+G97)</f>
        <v>124892.7372</v>
      </c>
      <c r="I97" s="75" t="str">
        <f aca="false">IF(E51="","",IF(13&gt;IF(E54="",10,E54),"",E51*(1+IF(E52="",0,E52))^ROUNDDOWN((13-1)/IF(E53="",5,E53),0)))</f>
        <v/>
      </c>
      <c r="J97" s="75" t="str">
        <f aca="false">IF(I97="","",IF((IF(E61="",IF($D$34="",0,$D$34),E61))=0,0,MAX(0,3050330.37-(IF(E62&lt;&gt;"",E62,IF($D$36&lt;&gt;"",$D$36,IF((IF(E61="",IF($D$34="",0,$D$34),E61))=0,0,E51/(IF(E61="",IF($D$34="",0,$D$34),E61)))))))*(IF(E61="",IF($D$34="",0,$D$34),E61))))</f>
        <v/>
      </c>
      <c r="K97" s="75" t="str">
        <f aca="false">IF(I97="","",I97+J97)</f>
        <v/>
      </c>
      <c r="L97" s="75" t="str">
        <f aca="false">IF(F51="","",IF(13&gt;IF(F54="",10,F54),"",F51*(1+IF(F52="",0,F52))^ROUNDDOWN((13-1)/IF(F53="",5,F53),0)))</f>
        <v/>
      </c>
      <c r="M97" s="75" t="str">
        <f aca="false">IF(L97="","",IF((IF(F61="",IF($D$34="",0,$D$34),F61))=0,0,MAX(0,3050330.37-(IF(F62&lt;&gt;"",F62,IF($D$36&lt;&gt;"",$D$36,IF((IF(F61="",IF($D$34="",0,$D$34),F61))=0,0,F51/(IF(F61="",IF($D$34="",0,$D$34),F61)))))))*(IF(F61="",IF($D$34="",0,$D$34),F61))))</f>
        <v/>
      </c>
      <c r="N97" s="75" t="str">
        <f aca="false">IF(L97="","",L97+M97)</f>
        <v/>
      </c>
      <c r="O97" s="75" t="str">
        <f aca="false">IF(G51="","",IF(13&gt;IF(G54="",10,G54),"",G51*(1+IF(G52="",0,G52))^ROUNDDOWN((13-1)/IF(G53="",5,G53),0)))</f>
        <v/>
      </c>
      <c r="P97" s="75" t="str">
        <f aca="false">IF(O97="","",IF((IF(G61="",IF($D$34="",0,$D$34),G61))=0,0,MAX(0,3050330.37-(IF(G62&lt;&gt;"",G62,IF($D$36&lt;&gt;"",$D$36,IF((IF(G61="",IF($D$34="",0,$D$34),G61))=0,0,G51/(IF(G61="",IF($D$34="",0,$D$34),G61)))))))*(IF(G61="",IF($D$34="",0,$D$34),G61))))</f>
        <v/>
      </c>
      <c r="Q97" s="75" t="str">
        <f aca="false">IF(O97="","",O97+P97)</f>
        <v/>
      </c>
      <c r="R97" s="75" t="str">
        <f aca="false">IF(H51="","",IF(13&gt;IF(H54="",10,H54),"",H51*(1+IF(H52="",0,H52))^ROUNDDOWN((13-1)/IF(H53="",5,H53),0)))</f>
        <v/>
      </c>
      <c r="S97" s="75" t="str">
        <f aca="false">IF(R97="","",IF((IF(H61="",IF($D$34="",0,$D$34),H61))=0,0,MAX(0,3050330.37-(IF(H62&lt;&gt;"",H62,IF($D$36&lt;&gt;"",$D$36,IF((IF(H61="",IF($D$34="",0,$D$34),H61))=0,0,H51/(IF(H61="",IF($D$34="",0,$D$34),H61)))))))*(IF(H61="",IF($D$34="",0,$D$34),H61))))</f>
        <v/>
      </c>
      <c r="T97" s="75" t="str">
        <f aca="false">IF(R97="","",R97+S97)</f>
        <v/>
      </c>
    </row>
    <row r="98" customFormat="false" ht="15" hidden="false" customHeight="false" outlineLevel="0" collapsed="false">
      <c r="A98" s="74" t="n">
        <v>14</v>
      </c>
      <c r="B98" s="75" t="n">
        <v>3111337</v>
      </c>
      <c r="C98" s="76" t="n">
        <v>120043</v>
      </c>
      <c r="D98" s="76" t="n">
        <v>0</v>
      </c>
      <c r="E98" s="76" t="n">
        <v>120043</v>
      </c>
      <c r="F98" s="75" t="n">
        <f aca="false">IF(D51="","",IF(14&gt;IF(D54="",10,D54),"",D51*(1+IF(D52="",0,D52))^ROUNDDOWN((14-1)/IF(D53="",5,D53),0)))</f>
        <v>124892.7372</v>
      </c>
      <c r="G98" s="75" t="n">
        <f aca="false">IF(F98="","",IF((IF(D61="",IF($D$34="",0,$D$34),D61))=0,0,MAX(0,3111336.98-(IF(D62&lt;&gt;"",D62,IF($D$36&lt;&gt;"",$D$36,IF((IF(D61="",IF($D$34="",0,$D$34),D61))=0,0,D51/(IF(D61="",IF($D$34="",0,$D$34),D61)))))))*(IF(D61="",IF($D$34="",0,$D$34),D61))))</f>
        <v>0</v>
      </c>
      <c r="H98" s="75" t="n">
        <f aca="false">IF(F98="","",F98+G98)</f>
        <v>124892.7372</v>
      </c>
      <c r="I98" s="75" t="str">
        <f aca="false">IF(E51="","",IF(14&gt;IF(E54="",10,E54),"",E51*(1+IF(E52="",0,E52))^ROUNDDOWN((14-1)/IF(E53="",5,E53),0)))</f>
        <v/>
      </c>
      <c r="J98" s="75" t="str">
        <f aca="false">IF(I98="","",IF((IF(E61="",IF($D$34="",0,$D$34),E61))=0,0,MAX(0,3111336.98-(IF(E62&lt;&gt;"",E62,IF($D$36&lt;&gt;"",$D$36,IF((IF(E61="",IF($D$34="",0,$D$34),E61))=0,0,E51/(IF(E61="",IF($D$34="",0,$D$34),E61)))))))*(IF(E61="",IF($D$34="",0,$D$34),E61))))</f>
        <v/>
      </c>
      <c r="K98" s="75" t="str">
        <f aca="false">IF(I98="","",I98+J98)</f>
        <v/>
      </c>
      <c r="L98" s="75" t="str">
        <f aca="false">IF(F51="","",IF(14&gt;IF(F54="",10,F54),"",F51*(1+IF(F52="",0,F52))^ROUNDDOWN((14-1)/IF(F53="",5,F53),0)))</f>
        <v/>
      </c>
      <c r="M98" s="75" t="str">
        <f aca="false">IF(L98="","",IF((IF(F61="",IF($D$34="",0,$D$34),F61))=0,0,MAX(0,3111336.98-(IF(F62&lt;&gt;"",F62,IF($D$36&lt;&gt;"",$D$36,IF((IF(F61="",IF($D$34="",0,$D$34),F61))=0,0,F51/(IF(F61="",IF($D$34="",0,$D$34),F61)))))))*(IF(F61="",IF($D$34="",0,$D$34),F61))))</f>
        <v/>
      </c>
      <c r="N98" s="75" t="str">
        <f aca="false">IF(L98="","",L98+M98)</f>
        <v/>
      </c>
      <c r="O98" s="75" t="str">
        <f aca="false">IF(G51="","",IF(14&gt;IF(G54="",10,G54),"",G51*(1+IF(G52="",0,G52))^ROUNDDOWN((14-1)/IF(G53="",5,G53),0)))</f>
        <v/>
      </c>
      <c r="P98" s="75" t="str">
        <f aca="false">IF(O98="","",IF((IF(G61="",IF($D$34="",0,$D$34),G61))=0,0,MAX(0,3111336.98-(IF(G62&lt;&gt;"",G62,IF($D$36&lt;&gt;"",$D$36,IF((IF(G61="",IF($D$34="",0,$D$34),G61))=0,0,G51/(IF(G61="",IF($D$34="",0,$D$34),G61)))))))*(IF(G61="",IF($D$34="",0,$D$34),G61))))</f>
        <v/>
      </c>
      <c r="Q98" s="75" t="str">
        <f aca="false">IF(O98="","",O98+P98)</f>
        <v/>
      </c>
      <c r="R98" s="75" t="str">
        <f aca="false">IF(H51="","",IF(14&gt;IF(H54="",10,H54),"",H51*(1+IF(H52="",0,H52))^ROUNDDOWN((14-1)/IF(H53="",5,H53),0)))</f>
        <v/>
      </c>
      <c r="S98" s="75" t="str">
        <f aca="false">IF(R98="","",IF((IF(H61="",IF($D$34="",0,$D$34),H61))=0,0,MAX(0,3111336.98-(IF(H62&lt;&gt;"",H62,IF($D$36&lt;&gt;"",$D$36,IF((IF(H61="",IF($D$34="",0,$D$34),H61))=0,0,H51/(IF(H61="",IF($D$34="",0,$D$34),H61)))))))*(IF(H61="",IF($D$34="",0,$D$34),H61))))</f>
        <v/>
      </c>
      <c r="T98" s="75" t="str">
        <f aca="false">IF(R98="","",R98+S98)</f>
        <v/>
      </c>
    </row>
    <row r="99" customFormat="false" ht="15" hidden="false" customHeight="false" outlineLevel="0" collapsed="false">
      <c r="A99" s="74" t="n">
        <v>15</v>
      </c>
      <c r="B99" s="75" t="n">
        <v>3173564</v>
      </c>
      <c r="C99" s="76" t="n">
        <v>120043</v>
      </c>
      <c r="D99" s="76" t="n">
        <v>0</v>
      </c>
      <c r="E99" s="76" t="n">
        <v>120043</v>
      </c>
      <c r="F99" s="75" t="n">
        <f aca="false">IF(D51="","",IF(15&gt;IF(D54="",10,D54),"",D51*(1+IF(D52="",0,D52))^ROUNDDOWN((15-1)/IF(D53="",5,D53),0)))</f>
        <v>124892.7372</v>
      </c>
      <c r="G99" s="75" t="n">
        <f aca="false">IF(F99="","",IF((IF(D61="",IF($D$34="",0,$D$34),D61))=0,0,MAX(0,3173563.72-(IF(D62&lt;&gt;"",D62,IF($D$36&lt;&gt;"",$D$36,IF((IF(D61="",IF($D$34="",0,$D$34),D61))=0,0,D51/(IF(D61="",IF($D$34="",0,$D$34),D61)))))))*(IF(D61="",IF($D$34="",0,$D$34),D61))))</f>
        <v>0</v>
      </c>
      <c r="H99" s="75" t="n">
        <f aca="false">IF(F99="","",F99+G99)</f>
        <v>124892.7372</v>
      </c>
      <c r="I99" s="75" t="str">
        <f aca="false">IF(E51="","",IF(15&gt;IF(E54="",10,E54),"",E51*(1+IF(E52="",0,E52))^ROUNDDOWN((15-1)/IF(E53="",5,E53),0)))</f>
        <v/>
      </c>
      <c r="J99" s="75" t="str">
        <f aca="false">IF(I99="","",IF((IF(E61="",IF($D$34="",0,$D$34),E61))=0,0,MAX(0,3173563.72-(IF(E62&lt;&gt;"",E62,IF($D$36&lt;&gt;"",$D$36,IF((IF(E61="",IF($D$34="",0,$D$34),E61))=0,0,E51/(IF(E61="",IF($D$34="",0,$D$34),E61)))))))*(IF(E61="",IF($D$34="",0,$D$34),E61))))</f>
        <v/>
      </c>
      <c r="K99" s="75" t="str">
        <f aca="false">IF(I99="","",I99+J99)</f>
        <v/>
      </c>
      <c r="L99" s="75" t="str">
        <f aca="false">IF(F51="","",IF(15&gt;IF(F54="",10,F54),"",F51*(1+IF(F52="",0,F52))^ROUNDDOWN((15-1)/IF(F53="",5,F53),0)))</f>
        <v/>
      </c>
      <c r="M99" s="75" t="str">
        <f aca="false">IF(L99="","",IF((IF(F61="",IF($D$34="",0,$D$34),F61))=0,0,MAX(0,3173563.72-(IF(F62&lt;&gt;"",F62,IF($D$36&lt;&gt;"",$D$36,IF((IF(F61="",IF($D$34="",0,$D$34),F61))=0,0,F51/(IF(F61="",IF($D$34="",0,$D$34),F61)))))))*(IF(F61="",IF($D$34="",0,$D$34),F61))))</f>
        <v/>
      </c>
      <c r="N99" s="75" t="str">
        <f aca="false">IF(L99="","",L99+M99)</f>
        <v/>
      </c>
      <c r="O99" s="75" t="str">
        <f aca="false">IF(G51="","",IF(15&gt;IF(G54="",10,G54),"",G51*(1+IF(G52="",0,G52))^ROUNDDOWN((15-1)/IF(G53="",5,G53),0)))</f>
        <v/>
      </c>
      <c r="P99" s="75" t="str">
        <f aca="false">IF(O99="","",IF((IF(G61="",IF($D$34="",0,$D$34),G61))=0,0,MAX(0,3173563.72-(IF(G62&lt;&gt;"",G62,IF($D$36&lt;&gt;"",$D$36,IF((IF(G61="",IF($D$34="",0,$D$34),G61))=0,0,G51/(IF(G61="",IF($D$34="",0,$D$34),G61)))))))*(IF(G61="",IF($D$34="",0,$D$34),G61))))</f>
        <v/>
      </c>
      <c r="Q99" s="75" t="str">
        <f aca="false">IF(O99="","",O99+P99)</f>
        <v/>
      </c>
      <c r="R99" s="75" t="str">
        <f aca="false">IF(H51="","",IF(15&gt;IF(H54="",10,H54),"",H51*(1+IF(H52="",0,H52))^ROUNDDOWN((15-1)/IF(H53="",5,H53),0)))</f>
        <v/>
      </c>
      <c r="S99" s="75" t="str">
        <f aca="false">IF(R99="","",IF((IF(H61="",IF($D$34="",0,$D$34),H61))=0,0,MAX(0,3173563.72-(IF(H62&lt;&gt;"",H62,IF($D$36&lt;&gt;"",$D$36,IF((IF(H61="",IF($D$34="",0,$D$34),H61))=0,0,H51/(IF(H61="",IF($D$34="",0,$D$34),H61)))))))*(IF(H61="",IF($D$34="",0,$D$34),H61))))</f>
        <v/>
      </c>
      <c r="T99" s="75" t="str">
        <f aca="false">IF(R99="","",R99+S99)</f>
        <v/>
      </c>
    </row>
    <row r="100" customFormat="false" ht="15" hidden="false" customHeight="false" outlineLevel="0" collapsed="false">
      <c r="A100" s="74" t="n">
        <v>16</v>
      </c>
      <c r="B100" s="75" t="n">
        <v>3237035</v>
      </c>
      <c r="C100" s="76" t="n">
        <v>120043</v>
      </c>
      <c r="D100" s="76" t="n">
        <v>0</v>
      </c>
      <c r="E100" s="76" t="n">
        <v>120043</v>
      </c>
      <c r="F100" s="75" t="n">
        <f aca="false">IF(D51="","",IF(16&gt;IF(D54="",10,D54),"",D51*(1+IF(D52="",0,D52))^ROUNDDOWN((16-1)/IF(D53="",5,D53),0)))</f>
        <v>127390.591944</v>
      </c>
      <c r="G100" s="75" t="n">
        <f aca="false">IF(F100="","",IF((IF(D61="",IF($D$34="",0,$D$34),D61))=0,0,MAX(0,3237034.99-(IF(D62&lt;&gt;"",D62,IF($D$36&lt;&gt;"",$D$36,IF((IF(D61="",IF($D$34="",0,$D$34),D61))=0,0,D51/(IF(D61="",IF($D$34="",0,$D$34),D61)))))))*(IF(D61="",IF($D$34="",0,$D$34),D61))))</f>
        <v>0</v>
      </c>
      <c r="H100" s="75" t="n">
        <f aca="false">IF(F100="","",F100+G100)</f>
        <v>127390.591944</v>
      </c>
      <c r="I100" s="75" t="str">
        <f aca="false">IF(E51="","",IF(16&gt;IF(E54="",10,E54),"",E51*(1+IF(E52="",0,E52))^ROUNDDOWN((16-1)/IF(E53="",5,E53),0)))</f>
        <v/>
      </c>
      <c r="J100" s="75" t="str">
        <f aca="false">IF(I100="","",IF((IF(E61="",IF($D$34="",0,$D$34),E61))=0,0,MAX(0,3237034.99-(IF(E62&lt;&gt;"",E62,IF($D$36&lt;&gt;"",$D$36,IF((IF(E61="",IF($D$34="",0,$D$34),E61))=0,0,E51/(IF(E61="",IF($D$34="",0,$D$34),E61)))))))*(IF(E61="",IF($D$34="",0,$D$34),E61))))</f>
        <v/>
      </c>
      <c r="K100" s="75" t="str">
        <f aca="false">IF(I100="","",I100+J100)</f>
        <v/>
      </c>
      <c r="L100" s="75" t="str">
        <f aca="false">IF(F51="","",IF(16&gt;IF(F54="",10,F54),"",F51*(1+IF(F52="",0,F52))^ROUNDDOWN((16-1)/IF(F53="",5,F53),0)))</f>
        <v/>
      </c>
      <c r="M100" s="75" t="str">
        <f aca="false">IF(L100="","",IF((IF(F61="",IF($D$34="",0,$D$34),F61))=0,0,MAX(0,3237034.99-(IF(F62&lt;&gt;"",F62,IF($D$36&lt;&gt;"",$D$36,IF((IF(F61="",IF($D$34="",0,$D$34),F61))=0,0,F51/(IF(F61="",IF($D$34="",0,$D$34),F61)))))))*(IF(F61="",IF($D$34="",0,$D$34),F61))))</f>
        <v/>
      </c>
      <c r="N100" s="75" t="str">
        <f aca="false">IF(L100="","",L100+M100)</f>
        <v/>
      </c>
      <c r="O100" s="75" t="str">
        <f aca="false">IF(G51="","",IF(16&gt;IF(G54="",10,G54),"",G51*(1+IF(G52="",0,G52))^ROUNDDOWN((16-1)/IF(G53="",5,G53),0)))</f>
        <v/>
      </c>
      <c r="P100" s="75" t="str">
        <f aca="false">IF(O100="","",IF((IF(G61="",IF($D$34="",0,$D$34),G61))=0,0,MAX(0,3237034.99-(IF(G62&lt;&gt;"",G62,IF($D$36&lt;&gt;"",$D$36,IF((IF(G61="",IF($D$34="",0,$D$34),G61))=0,0,G51/(IF(G61="",IF($D$34="",0,$D$34),G61)))))))*(IF(G61="",IF($D$34="",0,$D$34),G61))))</f>
        <v/>
      </c>
      <c r="Q100" s="75" t="str">
        <f aca="false">IF(O100="","",O100+P100)</f>
        <v/>
      </c>
      <c r="R100" s="75" t="str">
        <f aca="false">IF(H51="","",IF(16&gt;IF(H54="",10,H54),"",H51*(1+IF(H52="",0,H52))^ROUNDDOWN((16-1)/IF(H53="",5,H53),0)))</f>
        <v/>
      </c>
      <c r="S100" s="75" t="str">
        <f aca="false">IF(R100="","",IF((IF(H61="",IF($D$34="",0,$D$34),H61))=0,0,MAX(0,3237034.99-(IF(H62&lt;&gt;"",H62,IF($D$36&lt;&gt;"",$D$36,IF((IF(H61="",IF($D$34="",0,$D$34),H61))=0,0,H51/(IF(H61="",IF($D$34="",0,$D$34),H61)))))))*(IF(H61="",IF($D$34="",0,$D$34),H61))))</f>
        <v/>
      </c>
      <c r="T100" s="75" t="str">
        <f aca="false">IF(R100="","",R100+S100)</f>
        <v/>
      </c>
    </row>
    <row r="101" customFormat="false" ht="15" hidden="false" customHeight="false" outlineLevel="0" collapsed="false">
      <c r="A101" s="74" t="n">
        <v>17</v>
      </c>
      <c r="B101" s="75" t="n">
        <v>3301776</v>
      </c>
      <c r="C101" s="76" t="n">
        <v>120043</v>
      </c>
      <c r="D101" s="76" t="n">
        <v>0</v>
      </c>
      <c r="E101" s="76" t="n">
        <v>120043</v>
      </c>
      <c r="F101" s="75" t="n">
        <f aca="false">IF(D51="","",IF(17&gt;IF(D54="",10,D54),"",D51*(1+IF(D52="",0,D52))^ROUNDDOWN((17-1)/IF(D53="",5,D53),0)))</f>
        <v>127390.591944</v>
      </c>
      <c r="G101" s="75" t="n">
        <f aca="false">IF(F101="","",IF((IF(D61="",IF($D$34="",0,$D$34),D61))=0,0,MAX(0,3301775.69-(IF(D62&lt;&gt;"",D62,IF($D$36&lt;&gt;"",$D$36,IF((IF(D61="",IF($D$34="",0,$D$34),D61))=0,0,D51/(IF(D61="",IF($D$34="",0,$D$34),D61)))))))*(IF(D61="",IF($D$34="",0,$D$34),D61))))</f>
        <v>0</v>
      </c>
      <c r="H101" s="75" t="n">
        <f aca="false">IF(F101="","",F101+G101)</f>
        <v>127390.591944</v>
      </c>
      <c r="I101" s="75" t="str">
        <f aca="false">IF(E51="","",IF(17&gt;IF(E54="",10,E54),"",E51*(1+IF(E52="",0,E52))^ROUNDDOWN((17-1)/IF(E53="",5,E53),0)))</f>
        <v/>
      </c>
      <c r="J101" s="75" t="str">
        <f aca="false">IF(I101="","",IF((IF(E61="",IF($D$34="",0,$D$34),E61))=0,0,MAX(0,3301775.69-(IF(E62&lt;&gt;"",E62,IF($D$36&lt;&gt;"",$D$36,IF((IF(E61="",IF($D$34="",0,$D$34),E61))=0,0,E51/(IF(E61="",IF($D$34="",0,$D$34),E61)))))))*(IF(E61="",IF($D$34="",0,$D$34),E61))))</f>
        <v/>
      </c>
      <c r="K101" s="75" t="str">
        <f aca="false">IF(I101="","",I101+J101)</f>
        <v/>
      </c>
      <c r="L101" s="75" t="str">
        <f aca="false">IF(F51="","",IF(17&gt;IF(F54="",10,F54),"",F51*(1+IF(F52="",0,F52))^ROUNDDOWN((17-1)/IF(F53="",5,F53),0)))</f>
        <v/>
      </c>
      <c r="M101" s="75" t="str">
        <f aca="false">IF(L101="","",IF((IF(F61="",IF($D$34="",0,$D$34),F61))=0,0,MAX(0,3301775.69-(IF(F62&lt;&gt;"",F62,IF($D$36&lt;&gt;"",$D$36,IF((IF(F61="",IF($D$34="",0,$D$34),F61))=0,0,F51/(IF(F61="",IF($D$34="",0,$D$34),F61)))))))*(IF(F61="",IF($D$34="",0,$D$34),F61))))</f>
        <v/>
      </c>
      <c r="N101" s="75" t="str">
        <f aca="false">IF(L101="","",L101+M101)</f>
        <v/>
      </c>
      <c r="O101" s="75" t="str">
        <f aca="false">IF(G51="","",IF(17&gt;IF(G54="",10,G54),"",G51*(1+IF(G52="",0,G52))^ROUNDDOWN((17-1)/IF(G53="",5,G53),0)))</f>
        <v/>
      </c>
      <c r="P101" s="75" t="str">
        <f aca="false">IF(O101="","",IF((IF(G61="",IF($D$34="",0,$D$34),G61))=0,0,MAX(0,3301775.69-(IF(G62&lt;&gt;"",G62,IF($D$36&lt;&gt;"",$D$36,IF((IF(G61="",IF($D$34="",0,$D$34),G61))=0,0,G51/(IF(G61="",IF($D$34="",0,$D$34),G61)))))))*(IF(G61="",IF($D$34="",0,$D$34),G61))))</f>
        <v/>
      </c>
      <c r="Q101" s="75" t="str">
        <f aca="false">IF(O101="","",O101+P101)</f>
        <v/>
      </c>
      <c r="R101" s="75" t="str">
        <f aca="false">IF(H51="","",IF(17&gt;IF(H54="",10,H54),"",H51*(1+IF(H52="",0,H52))^ROUNDDOWN((17-1)/IF(H53="",5,H53),0)))</f>
        <v/>
      </c>
      <c r="S101" s="75" t="str">
        <f aca="false">IF(R101="","",IF((IF(H61="",IF($D$34="",0,$D$34),H61))=0,0,MAX(0,3301775.69-(IF(H62&lt;&gt;"",H62,IF($D$36&lt;&gt;"",$D$36,IF((IF(H61="",IF($D$34="",0,$D$34),H61))=0,0,H51/(IF(H61="",IF($D$34="",0,$D$34),H61)))))))*(IF(H61="",IF($D$34="",0,$D$34),H61))))</f>
        <v/>
      </c>
      <c r="T101" s="75" t="str">
        <f aca="false">IF(R101="","",R101+S101)</f>
        <v/>
      </c>
    </row>
    <row r="102" customFormat="false" ht="15" hidden="false" customHeight="false" outlineLevel="0" collapsed="false">
      <c r="A102" s="74" t="n">
        <v>18</v>
      </c>
      <c r="B102" s="75" t="n">
        <v>3367811</v>
      </c>
      <c r="C102" s="76" t="n">
        <v>120043</v>
      </c>
      <c r="D102" s="76" t="n">
        <v>0</v>
      </c>
      <c r="E102" s="76" t="n">
        <v>120043</v>
      </c>
      <c r="F102" s="75" t="n">
        <f aca="false">IF(D51="","",IF(18&gt;IF(D54="",10,D54),"",D51*(1+IF(D52="",0,D52))^ROUNDDOWN((18-1)/IF(D53="",5,D53),0)))</f>
        <v>127390.591944</v>
      </c>
      <c r="G102" s="75" t="n">
        <f aca="false">IF(F102="","",IF((IF(D61="",IF($D$34="",0,$D$34),D61))=0,0,MAX(0,3367811.2-(IF(D62&lt;&gt;"",D62,IF($D$36&lt;&gt;"",$D$36,IF((IF(D61="",IF($D$34="",0,$D$34),D61))=0,0,D51/(IF(D61="",IF($D$34="",0,$D$34),D61)))))))*(IF(D61="",IF($D$34="",0,$D$34),D61))))</f>
        <v>0</v>
      </c>
      <c r="H102" s="75" t="n">
        <f aca="false">IF(F102="","",F102+G102)</f>
        <v>127390.591944</v>
      </c>
      <c r="I102" s="75" t="str">
        <f aca="false">IF(E51="","",IF(18&gt;IF(E54="",10,E54),"",E51*(1+IF(E52="",0,E52))^ROUNDDOWN((18-1)/IF(E53="",5,E53),0)))</f>
        <v/>
      </c>
      <c r="J102" s="75" t="str">
        <f aca="false">IF(I102="","",IF((IF(E61="",IF($D$34="",0,$D$34),E61))=0,0,MAX(0,3367811.2-(IF(E62&lt;&gt;"",E62,IF($D$36&lt;&gt;"",$D$36,IF((IF(E61="",IF($D$34="",0,$D$34),E61))=0,0,E51/(IF(E61="",IF($D$34="",0,$D$34),E61)))))))*(IF(E61="",IF($D$34="",0,$D$34),E61))))</f>
        <v/>
      </c>
      <c r="K102" s="75" t="str">
        <f aca="false">IF(I102="","",I102+J102)</f>
        <v/>
      </c>
      <c r="L102" s="75" t="str">
        <f aca="false">IF(F51="","",IF(18&gt;IF(F54="",10,F54),"",F51*(1+IF(F52="",0,F52))^ROUNDDOWN((18-1)/IF(F53="",5,F53),0)))</f>
        <v/>
      </c>
      <c r="M102" s="75" t="str">
        <f aca="false">IF(L102="","",IF((IF(F61="",IF($D$34="",0,$D$34),F61))=0,0,MAX(0,3367811.2-(IF(F62&lt;&gt;"",F62,IF($D$36&lt;&gt;"",$D$36,IF((IF(F61="",IF($D$34="",0,$D$34),F61))=0,0,F51/(IF(F61="",IF($D$34="",0,$D$34),F61)))))))*(IF(F61="",IF($D$34="",0,$D$34),F61))))</f>
        <v/>
      </c>
      <c r="N102" s="75" t="str">
        <f aca="false">IF(L102="","",L102+M102)</f>
        <v/>
      </c>
      <c r="O102" s="75" t="str">
        <f aca="false">IF(G51="","",IF(18&gt;IF(G54="",10,G54),"",G51*(1+IF(G52="",0,G52))^ROUNDDOWN((18-1)/IF(G53="",5,G53),0)))</f>
        <v/>
      </c>
      <c r="P102" s="75" t="str">
        <f aca="false">IF(O102="","",IF((IF(G61="",IF($D$34="",0,$D$34),G61))=0,0,MAX(0,3367811.2-(IF(G62&lt;&gt;"",G62,IF($D$36&lt;&gt;"",$D$36,IF((IF(G61="",IF($D$34="",0,$D$34),G61))=0,0,G51/(IF(G61="",IF($D$34="",0,$D$34),G61)))))))*(IF(G61="",IF($D$34="",0,$D$34),G61))))</f>
        <v/>
      </c>
      <c r="Q102" s="75" t="str">
        <f aca="false">IF(O102="","",O102+P102)</f>
        <v/>
      </c>
      <c r="R102" s="75" t="str">
        <f aca="false">IF(H51="","",IF(18&gt;IF(H54="",10,H54),"",H51*(1+IF(H52="",0,H52))^ROUNDDOWN((18-1)/IF(H53="",5,H53),0)))</f>
        <v/>
      </c>
      <c r="S102" s="75" t="str">
        <f aca="false">IF(R102="","",IF((IF(H61="",IF($D$34="",0,$D$34),H61))=0,0,MAX(0,3367811.2-(IF(H62&lt;&gt;"",H62,IF($D$36&lt;&gt;"",$D$36,IF((IF(H61="",IF($D$34="",0,$D$34),H61))=0,0,H51/(IF(H61="",IF($D$34="",0,$D$34),H61)))))))*(IF(H61="",IF($D$34="",0,$D$34),H61))))</f>
        <v/>
      </c>
      <c r="T102" s="75" t="str">
        <f aca="false">IF(R102="","",R102+S102)</f>
        <v/>
      </c>
    </row>
    <row r="103" customFormat="false" ht="15" hidden="false" customHeight="false" outlineLevel="0" collapsed="false">
      <c r="A103" s="74" t="n">
        <v>19</v>
      </c>
      <c r="B103" s="75" t="n">
        <v>3435167</v>
      </c>
      <c r="C103" s="76" t="n">
        <v>120043</v>
      </c>
      <c r="D103" s="76" t="n">
        <v>0</v>
      </c>
      <c r="E103" s="76" t="n">
        <v>120043</v>
      </c>
      <c r="F103" s="75" t="n">
        <f aca="false">IF(D51="","",IF(19&gt;IF(D54="",10,D54),"",D51*(1+IF(D52="",0,D52))^ROUNDDOWN((19-1)/IF(D53="",5,D53),0)))</f>
        <v>127390.591944</v>
      </c>
      <c r="G103" s="75" t="n">
        <f aca="false">IF(F103="","",IF((IF(D61="",IF($D$34="",0,$D$34),D61))=0,0,MAX(0,3435167.43-(IF(D62&lt;&gt;"",D62,IF($D$36&lt;&gt;"",$D$36,IF((IF(D61="",IF($D$34="",0,$D$34),D61))=0,0,D51/(IF(D61="",IF($D$34="",0,$D$34),D61)))))))*(IF(D61="",IF($D$34="",0,$D$34),D61))))</f>
        <v>0</v>
      </c>
      <c r="H103" s="75" t="n">
        <f aca="false">IF(F103="","",F103+G103)</f>
        <v>127390.591944</v>
      </c>
      <c r="I103" s="75" t="str">
        <f aca="false">IF(E51="","",IF(19&gt;IF(E54="",10,E54),"",E51*(1+IF(E52="",0,E52))^ROUNDDOWN((19-1)/IF(E53="",5,E53),0)))</f>
        <v/>
      </c>
      <c r="J103" s="75" t="str">
        <f aca="false">IF(I103="","",IF((IF(E61="",IF($D$34="",0,$D$34),E61))=0,0,MAX(0,3435167.43-(IF(E62&lt;&gt;"",E62,IF($D$36&lt;&gt;"",$D$36,IF((IF(E61="",IF($D$34="",0,$D$34),E61))=0,0,E51/(IF(E61="",IF($D$34="",0,$D$34),E61)))))))*(IF(E61="",IF($D$34="",0,$D$34),E61))))</f>
        <v/>
      </c>
      <c r="K103" s="75" t="str">
        <f aca="false">IF(I103="","",I103+J103)</f>
        <v/>
      </c>
      <c r="L103" s="75" t="str">
        <f aca="false">IF(F51="","",IF(19&gt;IF(F54="",10,F54),"",F51*(1+IF(F52="",0,F52))^ROUNDDOWN((19-1)/IF(F53="",5,F53),0)))</f>
        <v/>
      </c>
      <c r="M103" s="75" t="str">
        <f aca="false">IF(L103="","",IF((IF(F61="",IF($D$34="",0,$D$34),F61))=0,0,MAX(0,3435167.43-(IF(F62&lt;&gt;"",F62,IF($D$36&lt;&gt;"",$D$36,IF((IF(F61="",IF($D$34="",0,$D$34),F61))=0,0,F51/(IF(F61="",IF($D$34="",0,$D$34),F61)))))))*(IF(F61="",IF($D$34="",0,$D$34),F61))))</f>
        <v/>
      </c>
      <c r="N103" s="75" t="str">
        <f aca="false">IF(L103="","",L103+M103)</f>
        <v/>
      </c>
      <c r="O103" s="75" t="str">
        <f aca="false">IF(G51="","",IF(19&gt;IF(G54="",10,G54),"",G51*(1+IF(G52="",0,G52))^ROUNDDOWN((19-1)/IF(G53="",5,G53),0)))</f>
        <v/>
      </c>
      <c r="P103" s="75" t="str">
        <f aca="false">IF(O103="","",IF((IF(G61="",IF($D$34="",0,$D$34),G61))=0,0,MAX(0,3435167.43-(IF(G62&lt;&gt;"",G62,IF($D$36&lt;&gt;"",$D$36,IF((IF(G61="",IF($D$34="",0,$D$34),G61))=0,0,G51/(IF(G61="",IF($D$34="",0,$D$34),G61)))))))*(IF(G61="",IF($D$34="",0,$D$34),G61))))</f>
        <v/>
      </c>
      <c r="Q103" s="75" t="str">
        <f aca="false">IF(O103="","",O103+P103)</f>
        <v/>
      </c>
      <c r="R103" s="75" t="str">
        <f aca="false">IF(H51="","",IF(19&gt;IF(H54="",10,H54),"",H51*(1+IF(H52="",0,H52))^ROUNDDOWN((19-1)/IF(H53="",5,H53),0)))</f>
        <v/>
      </c>
      <c r="S103" s="75" t="str">
        <f aca="false">IF(R103="","",IF((IF(H61="",IF($D$34="",0,$D$34),H61))=0,0,MAX(0,3435167.43-(IF(H62&lt;&gt;"",H62,IF($D$36&lt;&gt;"",$D$36,IF((IF(H61="",IF($D$34="",0,$D$34),H61))=0,0,H51/(IF(H61="",IF($D$34="",0,$D$34),H61)))))))*(IF(H61="",IF($D$34="",0,$D$34),H61))))</f>
        <v/>
      </c>
      <c r="T103" s="75" t="str">
        <f aca="false">IF(R103="","",R103+S103)</f>
        <v/>
      </c>
    </row>
    <row r="104" customFormat="false" ht="15" hidden="false" customHeight="false" outlineLevel="0" collapsed="false">
      <c r="A104" s="74" t="n">
        <v>20</v>
      </c>
      <c r="B104" s="75" t="n">
        <v>3503871</v>
      </c>
      <c r="C104" s="76" t="n">
        <v>120043</v>
      </c>
      <c r="D104" s="76" t="n">
        <v>0</v>
      </c>
      <c r="E104" s="76" t="n">
        <v>120043</v>
      </c>
      <c r="F104" s="75" t="n">
        <f aca="false">IF(D51="","",IF(20&gt;IF(D54="",10,D54),"",D51*(1+IF(D52="",0,D52))^ROUNDDOWN((20-1)/IF(D53="",5,D53),0)))</f>
        <v>127390.591944</v>
      </c>
      <c r="G104" s="75" t="n">
        <f aca="false">IF(F104="","",IF((IF(D61="",IF($D$34="",0,$D$34),D61))=0,0,MAX(0,3503870.78-(IF(D62&lt;&gt;"",D62,IF($D$36&lt;&gt;"",$D$36,IF((IF(D61="",IF($D$34="",0,$D$34),D61))=0,0,D51/(IF(D61="",IF($D$34="",0,$D$34),D61)))))))*(IF(D61="",IF($D$34="",0,$D$34),D61))))</f>
        <v>0</v>
      </c>
      <c r="H104" s="75" t="n">
        <f aca="false">IF(F104="","",F104+G104)</f>
        <v>127390.591944</v>
      </c>
      <c r="I104" s="75" t="str">
        <f aca="false">IF(E51="","",IF(20&gt;IF(E54="",10,E54),"",E51*(1+IF(E52="",0,E52))^ROUNDDOWN((20-1)/IF(E53="",5,E53),0)))</f>
        <v/>
      </c>
      <c r="J104" s="75" t="str">
        <f aca="false">IF(I104="","",IF((IF(E61="",IF($D$34="",0,$D$34),E61))=0,0,MAX(0,3503870.78-(IF(E62&lt;&gt;"",E62,IF($D$36&lt;&gt;"",$D$36,IF((IF(E61="",IF($D$34="",0,$D$34),E61))=0,0,E51/(IF(E61="",IF($D$34="",0,$D$34),E61)))))))*(IF(E61="",IF($D$34="",0,$D$34),E61))))</f>
        <v/>
      </c>
      <c r="K104" s="75" t="str">
        <f aca="false">IF(I104="","",I104+J104)</f>
        <v/>
      </c>
      <c r="L104" s="75" t="str">
        <f aca="false">IF(F51="","",IF(20&gt;IF(F54="",10,F54),"",F51*(1+IF(F52="",0,F52))^ROUNDDOWN((20-1)/IF(F53="",5,F53),0)))</f>
        <v/>
      </c>
      <c r="M104" s="75" t="str">
        <f aca="false">IF(L104="","",IF((IF(F61="",IF($D$34="",0,$D$34),F61))=0,0,MAX(0,3503870.78-(IF(F62&lt;&gt;"",F62,IF($D$36&lt;&gt;"",$D$36,IF((IF(F61="",IF($D$34="",0,$D$34),F61))=0,0,F51/(IF(F61="",IF($D$34="",0,$D$34),F61)))))))*(IF(F61="",IF($D$34="",0,$D$34),F61))))</f>
        <v/>
      </c>
      <c r="N104" s="75" t="str">
        <f aca="false">IF(L104="","",L104+M104)</f>
        <v/>
      </c>
      <c r="O104" s="75" t="str">
        <f aca="false">IF(G51="","",IF(20&gt;IF(G54="",10,G54),"",G51*(1+IF(G52="",0,G52))^ROUNDDOWN((20-1)/IF(G53="",5,G53),0)))</f>
        <v/>
      </c>
      <c r="P104" s="75" t="str">
        <f aca="false">IF(O104="","",IF((IF(G61="",IF($D$34="",0,$D$34),G61))=0,0,MAX(0,3503870.78-(IF(G62&lt;&gt;"",G62,IF($D$36&lt;&gt;"",$D$36,IF((IF(G61="",IF($D$34="",0,$D$34),G61))=0,0,G51/(IF(G61="",IF($D$34="",0,$D$34),G61)))))))*(IF(G61="",IF($D$34="",0,$D$34),G61))))</f>
        <v/>
      </c>
      <c r="Q104" s="75" t="str">
        <f aca="false">IF(O104="","",O104+P104)</f>
        <v/>
      </c>
      <c r="R104" s="75" t="str">
        <f aca="false">IF(H51="","",IF(20&gt;IF(H54="",10,H54),"",H51*(1+IF(H52="",0,H52))^ROUNDDOWN((20-1)/IF(H53="",5,H53),0)))</f>
        <v/>
      </c>
      <c r="S104" s="75" t="str">
        <f aca="false">IF(R104="","",IF((IF(H61="",IF($D$34="",0,$D$34),H61))=0,0,MAX(0,3503870.78-(IF(H62&lt;&gt;"",H62,IF($D$36&lt;&gt;"",$D$36,IF((IF(H61="",IF($D$34="",0,$D$34),H61))=0,0,H51/(IF(H61="",IF($D$34="",0,$D$34),H61)))))))*(IF(H61="",IF($D$34="",0,$D$34),H61))))</f>
        <v/>
      </c>
      <c r="T104" s="75" t="str">
        <f aca="false">IF(R104="","",R104+S104)</f>
        <v/>
      </c>
    </row>
    <row r="105" customFormat="false" ht="15" hidden="false" customHeight="false" outlineLevel="0" collapsed="false">
      <c r="A105" s="77" t="s">
        <v>394</v>
      </c>
      <c r="C105" s="78" t="n">
        <f aca="false">IF(COUNT(C85:C104)=0,"",SUM(C85:C104))</f>
        <v>2400860</v>
      </c>
      <c r="D105" s="78" t="n">
        <f aca="false">IF(COUNT(D85:D104)=0,"",SUM(D85:D104))</f>
        <v>0</v>
      </c>
      <c r="E105" s="78" t="n">
        <f aca="false">IF(COUNT(E85:E104)=0,"",SUM(E85:E104))</f>
        <v>2400860</v>
      </c>
      <c r="F105" s="78" t="n">
        <f aca="false">IF(COUNT(F85:F104)=0,"",SUM(F85:F104))</f>
        <v>2473850.94572</v>
      </c>
      <c r="G105" s="78" t="n">
        <f aca="false">IF(COUNT(G85:G104)=0,"",SUM(G85:G104))</f>
        <v>0</v>
      </c>
      <c r="H105" s="78" t="n">
        <f aca="false">IF(COUNT(H85:H104)=0,"",SUM(H85:H104))</f>
        <v>2473850.94572</v>
      </c>
      <c r="I105" s="78" t="str">
        <f aca="false">IF(COUNT(I85:I104)=0,"",SUM(I85:I104))</f>
        <v/>
      </c>
      <c r="J105" s="78" t="str">
        <f aca="false">IF(COUNT(J85:J104)=0,"",SUM(J85:J104))</f>
        <v/>
      </c>
      <c r="K105" s="78" t="str">
        <f aca="false">IF(COUNT(K85:K104)=0,"",SUM(K85:K104))</f>
        <v/>
      </c>
      <c r="L105" s="78" t="str">
        <f aca="false">IF(COUNT(L85:L104)=0,"",SUM(L85:L104))</f>
        <v/>
      </c>
      <c r="M105" s="78" t="str">
        <f aca="false">IF(COUNT(M85:M104)=0,"",SUM(M85:M104))</f>
        <v/>
      </c>
      <c r="N105" s="78" t="str">
        <f aca="false">IF(COUNT(N85:N104)=0,"",SUM(N85:N104))</f>
        <v/>
      </c>
      <c r="O105" s="78" t="str">
        <f aca="false">IF(COUNT(O85:O104)=0,"",SUM(O85:O104))</f>
        <v/>
      </c>
      <c r="P105" s="78" t="str">
        <f aca="false">IF(COUNT(P85:P104)=0,"",SUM(P85:P104))</f>
        <v/>
      </c>
      <c r="Q105" s="78" t="str">
        <f aca="false">IF(COUNT(Q85:Q104)=0,"",SUM(Q85:Q104))</f>
        <v/>
      </c>
      <c r="R105" s="78" t="str">
        <f aca="false">IF(COUNT(R85:R104)=0,"",SUM(R85:R104))</f>
        <v/>
      </c>
      <c r="S105" s="78" t="str">
        <f aca="false">IF(COUNT(S85:S104)=0,"",SUM(S85:S104))</f>
        <v/>
      </c>
      <c r="T105" s="78" t="str">
        <f aca="false">IF(COUNT(T85:T104)=0,"",SUM(T85:T104))</f>
        <v/>
      </c>
    </row>
    <row r="106" customFormat="false" ht="15" hidden="false" customHeight="false" outlineLevel="0" collapsed="false">
      <c r="A106" s="69" t="s">
        <v>395</v>
      </c>
      <c r="B106" s="69"/>
      <c r="C106" s="69"/>
      <c r="D106" s="69"/>
      <c r="E106" s="69"/>
      <c r="F106" s="69"/>
      <c r="G106" s="69"/>
      <c r="H106" s="69"/>
      <c r="I106" s="69"/>
      <c r="J106" s="69"/>
      <c r="K106" s="69"/>
      <c r="L106" s="69"/>
      <c r="M106" s="69"/>
      <c r="N106" s="69"/>
      <c r="O106" s="69"/>
      <c r="P106" s="69"/>
      <c r="Q106" s="69"/>
      <c r="R106" s="69"/>
      <c r="S106" s="69"/>
      <c r="T106" s="69"/>
    </row>
  </sheetData>
  <mergeCells count="82">
    <mergeCell ref="A2:J2"/>
    <mergeCell ref="A3:J3"/>
    <mergeCell ref="A4:J4"/>
    <mergeCell ref="A5:J5"/>
    <mergeCell ref="A6:J6"/>
    <mergeCell ref="A7:J7"/>
    <mergeCell ref="A8:J8"/>
    <mergeCell ref="A10:C10"/>
    <mergeCell ref="D10:J10"/>
    <mergeCell ref="A11:C11"/>
    <mergeCell ref="D11:J11"/>
    <mergeCell ref="A12:C12"/>
    <mergeCell ref="D12:J12"/>
    <mergeCell ref="A13:C13"/>
    <mergeCell ref="D13:J13"/>
    <mergeCell ref="A14:C14"/>
    <mergeCell ref="D14:J14"/>
    <mergeCell ref="G17:J17"/>
    <mergeCell ref="G18:J18"/>
    <mergeCell ref="G19:J19"/>
    <mergeCell ref="A20:D20"/>
    <mergeCell ref="A21:J21"/>
    <mergeCell ref="A24:C24"/>
    <mergeCell ref="A25:C25"/>
    <mergeCell ref="E25:J25"/>
    <mergeCell ref="A26:C26"/>
    <mergeCell ref="E26:J26"/>
    <mergeCell ref="A27:C27"/>
    <mergeCell ref="A28:C28"/>
    <mergeCell ref="A29:C29"/>
    <mergeCell ref="E29:J29"/>
    <mergeCell ref="A30:J30"/>
    <mergeCell ref="A31:J31"/>
    <mergeCell ref="A34:C34"/>
    <mergeCell ref="E34:J34"/>
    <mergeCell ref="A35:C35"/>
    <mergeCell ref="E35:J35"/>
    <mergeCell ref="A36:C36"/>
    <mergeCell ref="E36:J36"/>
    <mergeCell ref="A37:C37"/>
    <mergeCell ref="E37:J37"/>
    <mergeCell ref="A38:C38"/>
    <mergeCell ref="A39:C39"/>
    <mergeCell ref="A40:C40"/>
    <mergeCell ref="A41:C41"/>
    <mergeCell ref="A46:G46"/>
    <mergeCell ref="A49:C49"/>
    <mergeCell ref="A50:C50"/>
    <mergeCell ref="A51:C51"/>
    <mergeCell ref="A52:C52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2:C62"/>
    <mergeCell ref="A63:C63"/>
    <mergeCell ref="A64:C64"/>
    <mergeCell ref="A65:C65"/>
    <mergeCell ref="A66:C66"/>
    <mergeCell ref="A67:C67"/>
    <mergeCell ref="A68:C68"/>
    <mergeCell ref="A69:C69"/>
    <mergeCell ref="A70:C70"/>
    <mergeCell ref="A71:C71"/>
    <mergeCell ref="A72:C72"/>
    <mergeCell ref="A73:C73"/>
    <mergeCell ref="A74:C74"/>
    <mergeCell ref="A76:J76"/>
    <mergeCell ref="A78:J78"/>
    <mergeCell ref="A82:T82"/>
    <mergeCell ref="C83:E83"/>
    <mergeCell ref="F83:H83"/>
    <mergeCell ref="I83:K83"/>
    <mergeCell ref="L83:N83"/>
    <mergeCell ref="O83:Q83"/>
    <mergeCell ref="R83:T83"/>
    <mergeCell ref="A106:T106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T11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6"/>
    <col collapsed="false" customWidth="true" hidden="false" outlineLevel="0" max="2" min="2" style="0" width="22"/>
    <col collapsed="false" customWidth="true" hidden="false" outlineLevel="0" max="3" min="3" style="0" width="11"/>
    <col collapsed="false" customWidth="true" hidden="false" outlineLevel="0" max="4" min="4" style="0" width="14"/>
    <col collapsed="false" customWidth="true" hidden="false" outlineLevel="0" max="6" min="5" style="0" width="12"/>
    <col collapsed="false" customWidth="true" hidden="false" outlineLevel="0" max="7" min="7" style="0" width="14"/>
    <col collapsed="false" customWidth="true" hidden="false" outlineLevel="0" max="9" min="8" style="0" width="13"/>
    <col collapsed="false" customWidth="true" hidden="false" outlineLevel="0" max="10" min="10" style="0" width="26"/>
  </cols>
  <sheetData>
    <row r="1" customFormat="false" ht="16.15" hidden="false" customHeight="false" outlineLevel="0" collapsed="false">
      <c r="A1" s="3" t="s">
        <v>250</v>
      </c>
    </row>
    <row r="2" customFormat="false" ht="25.5" hidden="false" customHeight="true" outlineLevel="0" collapsed="false">
      <c r="A2" s="12" t="s">
        <v>251</v>
      </c>
      <c r="B2" s="12"/>
      <c r="C2" s="12"/>
      <c r="D2" s="12"/>
      <c r="E2" s="12"/>
      <c r="F2" s="12"/>
      <c r="G2" s="12"/>
      <c r="H2" s="12"/>
      <c r="I2" s="12"/>
      <c r="J2" s="12"/>
    </row>
    <row r="3" customFormat="false" ht="15" hidden="false" customHeight="true" outlineLevel="0" collapsed="false">
      <c r="A3" s="16" t="s">
        <v>252</v>
      </c>
      <c r="B3" s="16"/>
      <c r="C3" s="16"/>
      <c r="D3" s="16"/>
      <c r="E3" s="16"/>
      <c r="F3" s="16"/>
      <c r="G3" s="16"/>
      <c r="H3" s="16"/>
      <c r="I3" s="16"/>
      <c r="J3" s="16"/>
    </row>
    <row r="4" customFormat="false" ht="30" hidden="false" customHeight="true" outlineLevel="0" collapsed="false">
      <c r="A4" s="17" t="s">
        <v>16</v>
      </c>
      <c r="B4" s="17"/>
      <c r="C4" s="17"/>
      <c r="D4" s="17"/>
      <c r="E4" s="17"/>
      <c r="F4" s="17"/>
      <c r="G4" s="17"/>
      <c r="H4" s="17"/>
      <c r="I4" s="17"/>
      <c r="J4" s="17"/>
    </row>
    <row r="5" customFormat="false" ht="15" hidden="false" customHeight="true" outlineLevel="0" collapsed="false">
      <c r="A5" s="18" t="s">
        <v>17</v>
      </c>
      <c r="B5" s="18"/>
      <c r="C5" s="18"/>
      <c r="D5" s="18"/>
      <c r="E5" s="18"/>
      <c r="F5" s="18"/>
      <c r="G5" s="18"/>
      <c r="H5" s="18"/>
      <c r="I5" s="18"/>
      <c r="J5" s="18"/>
    </row>
    <row r="6" customFormat="false" ht="15" hidden="false" customHeight="true" outlineLevel="0" collapsed="false">
      <c r="A6" s="19" t="s">
        <v>18</v>
      </c>
      <c r="B6" s="19"/>
      <c r="C6" s="19"/>
      <c r="D6" s="19"/>
      <c r="E6" s="19"/>
      <c r="F6" s="19"/>
      <c r="G6" s="19"/>
      <c r="H6" s="19"/>
      <c r="I6" s="19"/>
      <c r="J6" s="19"/>
    </row>
    <row r="7" customFormat="false" ht="23.85" hidden="false" customHeight="true" outlineLevel="0" collapsed="false">
      <c r="A7" s="20" t="s">
        <v>253</v>
      </c>
      <c r="B7" s="20"/>
      <c r="C7" s="20"/>
      <c r="D7" s="20"/>
      <c r="E7" s="20"/>
      <c r="F7" s="20"/>
      <c r="G7" s="20"/>
      <c r="H7" s="20"/>
      <c r="I7" s="20"/>
      <c r="J7" s="20"/>
    </row>
    <row r="8" customFormat="false" ht="15" hidden="false" customHeight="true" outlineLevel="0" collapsed="false">
      <c r="A8" s="21" t="s">
        <v>254</v>
      </c>
      <c r="B8" s="21"/>
      <c r="C8" s="21"/>
      <c r="D8" s="21"/>
      <c r="E8" s="21"/>
      <c r="F8" s="21"/>
      <c r="G8" s="21"/>
      <c r="H8" s="21"/>
      <c r="I8" s="21"/>
      <c r="J8" s="21"/>
    </row>
    <row r="10" customFormat="false" ht="15" hidden="false" customHeight="true" outlineLevel="0" collapsed="false">
      <c r="A10" s="22" t="s">
        <v>255</v>
      </c>
      <c r="B10" s="22"/>
      <c r="C10" s="22"/>
      <c r="D10" s="23" t="s">
        <v>256</v>
      </c>
      <c r="E10" s="23"/>
      <c r="F10" s="23"/>
      <c r="G10" s="23"/>
      <c r="H10" s="23"/>
      <c r="I10" s="23"/>
      <c r="J10" s="23"/>
    </row>
    <row r="11" customFormat="false" ht="15" hidden="false" customHeight="true" outlineLevel="0" collapsed="false">
      <c r="A11" s="22" t="s">
        <v>257</v>
      </c>
      <c r="B11" s="22"/>
      <c r="C11" s="22"/>
      <c r="D11" s="23" t="s">
        <v>258</v>
      </c>
      <c r="E11" s="23"/>
      <c r="F11" s="23"/>
      <c r="G11" s="23"/>
      <c r="H11" s="23"/>
      <c r="I11" s="23"/>
      <c r="J11" s="23"/>
    </row>
    <row r="12" customFormat="false" ht="15" hidden="false" customHeight="true" outlineLevel="0" collapsed="false">
      <c r="A12" s="22" t="s">
        <v>259</v>
      </c>
      <c r="B12" s="22"/>
      <c r="C12" s="22"/>
      <c r="D12" s="23" t="s">
        <v>260</v>
      </c>
      <c r="E12" s="23"/>
      <c r="F12" s="23"/>
      <c r="G12" s="23"/>
      <c r="H12" s="23"/>
      <c r="I12" s="23"/>
      <c r="J12" s="23"/>
    </row>
    <row r="13" customFormat="false" ht="15" hidden="false" customHeight="true" outlineLevel="0" collapsed="false">
      <c r="A13" s="22" t="s">
        <v>261</v>
      </c>
      <c r="B13" s="22"/>
      <c r="C13" s="22"/>
      <c r="D13" s="24" t="n">
        <v>2141968.37</v>
      </c>
      <c r="E13" s="24"/>
      <c r="F13" s="24"/>
      <c r="G13" s="24"/>
      <c r="H13" s="24"/>
      <c r="I13" s="24"/>
      <c r="J13" s="24"/>
    </row>
    <row r="14" customFormat="false" ht="23.85" hidden="false" customHeight="true" outlineLevel="0" collapsed="false">
      <c r="A14" s="22" t="s">
        <v>262</v>
      </c>
      <c r="B14" s="22"/>
      <c r="C14" s="22"/>
      <c r="D14" s="22" t="s">
        <v>263</v>
      </c>
      <c r="E14" s="22"/>
      <c r="F14" s="22"/>
      <c r="G14" s="22"/>
      <c r="H14" s="22"/>
      <c r="I14" s="22"/>
      <c r="J14" s="22"/>
    </row>
    <row r="16" customFormat="false" ht="15" hidden="false" customHeight="false" outlineLevel="0" collapsed="false">
      <c r="A16" s="25" t="s">
        <v>264</v>
      </c>
    </row>
    <row r="17" customFormat="false" ht="22.35" hidden="false" customHeight="true" outlineLevel="0" collapsed="false">
      <c r="A17" s="26" t="s">
        <v>265</v>
      </c>
      <c r="B17" s="26" t="s">
        <v>266</v>
      </c>
      <c r="C17" s="26" t="s">
        <v>267</v>
      </c>
      <c r="D17" s="26" t="s">
        <v>268</v>
      </c>
      <c r="E17" s="26" t="s">
        <v>269</v>
      </c>
      <c r="F17" s="26" t="s">
        <v>270</v>
      </c>
      <c r="G17" s="26" t="s">
        <v>271</v>
      </c>
      <c r="H17" s="26"/>
      <c r="I17" s="26"/>
      <c r="J17" s="26"/>
    </row>
    <row r="18" customFormat="false" ht="23.85" hidden="false" customHeight="true" outlineLevel="0" collapsed="false">
      <c r="A18" s="27" t="s">
        <v>272</v>
      </c>
      <c r="B18" s="28" t="s">
        <v>273</v>
      </c>
      <c r="C18" s="28" t="s">
        <v>274</v>
      </c>
      <c r="D18" s="29" t="n">
        <v>7750.9</v>
      </c>
      <c r="E18" s="30" t="n">
        <f aca="false">IF(D18="","",D18*12)</f>
        <v>93010.8</v>
      </c>
      <c r="F18" s="31" t="n">
        <v>3</v>
      </c>
      <c r="G18" s="32" t="s">
        <v>275</v>
      </c>
      <c r="H18" s="32"/>
      <c r="I18" s="32"/>
      <c r="J18" s="32"/>
    </row>
    <row r="19" customFormat="false" ht="23.85" hidden="false" customHeight="true" outlineLevel="0" collapsed="false">
      <c r="A19" s="27" t="s">
        <v>276</v>
      </c>
      <c r="B19" s="28" t="s">
        <v>277</v>
      </c>
      <c r="C19" s="28" t="s">
        <v>278</v>
      </c>
      <c r="D19" s="33"/>
      <c r="E19" s="30" t="str">
        <f aca="false">IF(D19="","",D19*12)</f>
        <v/>
      </c>
      <c r="F19" s="31" t="n">
        <v>5</v>
      </c>
      <c r="G19" s="32" t="s">
        <v>279</v>
      </c>
      <c r="H19" s="32"/>
      <c r="I19" s="32"/>
      <c r="J19" s="32"/>
    </row>
    <row r="20" customFormat="false" ht="23.85" hidden="false" customHeight="true" outlineLevel="0" collapsed="false">
      <c r="A20" s="27" t="s">
        <v>280</v>
      </c>
      <c r="B20" s="28" t="s">
        <v>281</v>
      </c>
      <c r="C20" s="28" t="s">
        <v>282</v>
      </c>
      <c r="D20" s="33"/>
      <c r="E20" s="30" t="str">
        <f aca="false">IF(D20="","",D20*12)</f>
        <v/>
      </c>
      <c r="F20" s="31" t="n">
        <v>2</v>
      </c>
      <c r="G20" s="32" t="s">
        <v>283</v>
      </c>
      <c r="H20" s="32"/>
      <c r="I20" s="32"/>
      <c r="J20" s="32"/>
    </row>
    <row r="21" customFormat="false" ht="15" hidden="false" customHeight="false" outlineLevel="0" collapsed="false">
      <c r="A21" s="34" t="s">
        <v>284</v>
      </c>
      <c r="B21" s="34"/>
      <c r="C21" s="34"/>
      <c r="D21" s="34"/>
      <c r="E21" s="35" t="n">
        <f aca="false">IF(SUMPRODUCT(E18:E20,F18:F20)=0,"",SUMPRODUCT(E18:E20,F18:F20))</f>
        <v>279032.4</v>
      </c>
      <c r="F21" s="36"/>
      <c r="G21" s="36"/>
      <c r="H21" s="36"/>
      <c r="I21" s="36"/>
      <c r="J21" s="36"/>
    </row>
    <row r="22" customFormat="false" ht="15" hidden="false" customHeight="false" outlineLevel="0" collapsed="false">
      <c r="A22" s="37" t="s">
        <v>285</v>
      </c>
      <c r="B22" s="37"/>
      <c r="C22" s="37"/>
      <c r="D22" s="37"/>
      <c r="E22" s="37"/>
      <c r="F22" s="37"/>
      <c r="G22" s="37"/>
      <c r="H22" s="37"/>
      <c r="I22" s="37"/>
      <c r="J22" s="37"/>
    </row>
    <row r="24" customFormat="false" ht="15" hidden="false" customHeight="false" outlineLevel="0" collapsed="false">
      <c r="A24" s="25" t="s">
        <v>286</v>
      </c>
    </row>
    <row r="25" customFormat="false" ht="15" hidden="false" customHeight="true" outlineLevel="0" collapsed="false">
      <c r="A25" s="22" t="s">
        <v>287</v>
      </c>
      <c r="B25" s="22"/>
      <c r="C25" s="22"/>
      <c r="D25" s="35" t="n">
        <v>93010.8</v>
      </c>
      <c r="E25" s="36"/>
      <c r="F25" s="36"/>
      <c r="G25" s="36"/>
      <c r="H25" s="36"/>
      <c r="I25" s="36"/>
      <c r="J25" s="36"/>
    </row>
    <row r="26" customFormat="false" ht="15" hidden="false" customHeight="true" outlineLevel="0" collapsed="false">
      <c r="A26" s="22" t="s">
        <v>288</v>
      </c>
      <c r="B26" s="22"/>
      <c r="C26" s="22"/>
      <c r="D26" s="38" t="n">
        <v>0.0434230501732386</v>
      </c>
      <c r="E26" s="39" t="s">
        <v>289</v>
      </c>
      <c r="F26" s="39"/>
      <c r="G26" s="39"/>
      <c r="H26" s="39"/>
      <c r="I26" s="39"/>
      <c r="J26" s="39"/>
    </row>
    <row r="27" customFormat="false" ht="15" hidden="false" customHeight="true" outlineLevel="0" collapsed="false">
      <c r="A27" s="22" t="s">
        <v>290</v>
      </c>
      <c r="B27" s="22"/>
      <c r="C27" s="22"/>
      <c r="D27" s="35" t="n">
        <v>18413.62</v>
      </c>
      <c r="E27" s="39" t="s">
        <v>291</v>
      </c>
      <c r="F27" s="39"/>
      <c r="G27" s="39"/>
      <c r="H27" s="39"/>
      <c r="I27" s="39"/>
      <c r="J27" s="39"/>
    </row>
    <row r="28" customFormat="false" ht="15" hidden="false" customHeight="true" outlineLevel="0" collapsed="false">
      <c r="A28" s="22" t="s">
        <v>292</v>
      </c>
      <c r="B28" s="22"/>
      <c r="C28" s="22"/>
      <c r="D28" s="35" t="n">
        <v>0</v>
      </c>
      <c r="E28" s="36"/>
      <c r="F28" s="36"/>
      <c r="G28" s="36"/>
      <c r="H28" s="36"/>
      <c r="I28" s="36"/>
      <c r="J28" s="36"/>
    </row>
    <row r="29" customFormat="false" ht="15" hidden="false" customHeight="true" outlineLevel="0" collapsed="false">
      <c r="A29" s="22" t="s">
        <v>293</v>
      </c>
      <c r="B29" s="22"/>
      <c r="C29" s="22"/>
      <c r="D29" s="35" t="n">
        <v>111424.42</v>
      </c>
      <c r="E29" s="36"/>
      <c r="F29" s="36"/>
      <c r="G29" s="36"/>
      <c r="H29" s="36"/>
      <c r="I29" s="36"/>
      <c r="J29" s="36"/>
    </row>
    <row r="30" customFormat="false" ht="15" hidden="false" customHeight="true" outlineLevel="0" collapsed="false">
      <c r="A30" s="22" t="s">
        <v>294</v>
      </c>
      <c r="B30" s="22"/>
      <c r="C30" s="22"/>
      <c r="D30" s="38" t="n">
        <v>0.0520196383665553</v>
      </c>
      <c r="E30" s="39" t="s">
        <v>295</v>
      </c>
      <c r="F30" s="39"/>
      <c r="G30" s="39"/>
      <c r="H30" s="39"/>
      <c r="I30" s="39"/>
      <c r="J30" s="39"/>
    </row>
    <row r="31" customFormat="false" ht="27.75" hidden="false" customHeight="true" outlineLevel="0" collapsed="false">
      <c r="A31" s="40" t="s">
        <v>296</v>
      </c>
      <c r="B31" s="40"/>
      <c r="C31" s="40"/>
      <c r="D31" s="40"/>
      <c r="E31" s="40"/>
      <c r="F31" s="40"/>
      <c r="G31" s="40"/>
      <c r="H31" s="40"/>
      <c r="I31" s="40"/>
      <c r="J31" s="40"/>
    </row>
    <row r="32" customFormat="false" ht="15" hidden="false" customHeight="false" outlineLevel="0" collapsed="false">
      <c r="A32" s="41" t="s">
        <v>297</v>
      </c>
      <c r="B32" s="41"/>
      <c r="C32" s="41"/>
      <c r="D32" s="41"/>
      <c r="E32" s="41"/>
      <c r="F32" s="41"/>
      <c r="G32" s="41"/>
      <c r="H32" s="41"/>
      <c r="I32" s="41"/>
      <c r="J32" s="41"/>
    </row>
    <row r="34" customFormat="false" ht="15" hidden="false" customHeight="false" outlineLevel="0" collapsed="false">
      <c r="A34" s="25" t="s">
        <v>298</v>
      </c>
    </row>
    <row r="35" customFormat="false" ht="15" hidden="false" customHeight="true" outlineLevel="0" collapsed="false">
      <c r="A35" s="22" t="s">
        <v>299</v>
      </c>
      <c r="B35" s="22"/>
      <c r="C35" s="22"/>
      <c r="D35" s="42" t="n">
        <v>0</v>
      </c>
      <c r="E35" s="43" t="s">
        <v>300</v>
      </c>
      <c r="F35" s="43"/>
      <c r="G35" s="43"/>
      <c r="H35" s="43"/>
      <c r="I35" s="43"/>
      <c r="J35" s="43"/>
    </row>
    <row r="36" customFormat="false" ht="15" hidden="false" customHeight="true" outlineLevel="0" collapsed="false">
      <c r="A36" s="22" t="s">
        <v>301</v>
      </c>
      <c r="B36" s="22"/>
      <c r="C36" s="22"/>
      <c r="D36" s="34" t="s">
        <v>302</v>
      </c>
      <c r="E36" s="43" t="s">
        <v>303</v>
      </c>
      <c r="F36" s="43"/>
      <c r="G36" s="43"/>
      <c r="H36" s="43"/>
      <c r="I36" s="43"/>
      <c r="J36" s="43"/>
    </row>
    <row r="37" customFormat="false" ht="15" hidden="false" customHeight="true" outlineLevel="0" collapsed="false">
      <c r="A37" s="22" t="s">
        <v>304</v>
      </c>
      <c r="B37" s="22"/>
      <c r="C37" s="22"/>
      <c r="D37" s="44"/>
      <c r="E37" s="43" t="s">
        <v>305</v>
      </c>
      <c r="F37" s="43"/>
      <c r="G37" s="43"/>
      <c r="H37" s="43"/>
      <c r="I37" s="43"/>
      <c r="J37" s="43"/>
    </row>
    <row r="38" customFormat="false" ht="23.85" hidden="false" customHeight="true" outlineLevel="0" collapsed="false">
      <c r="A38" s="22" t="s">
        <v>306</v>
      </c>
      <c r="B38" s="22"/>
      <c r="C38" s="22"/>
      <c r="D38" s="45" t="str">
        <f aca="false">IF(OR($D$35="",E18=""),"",IF($D$35=0,"— (no % rent)",E18/$D$35))</f>
        <v>— (no % rent)</v>
      </c>
      <c r="E38" s="43" t="s">
        <v>307</v>
      </c>
      <c r="F38" s="43"/>
      <c r="G38" s="43"/>
      <c r="H38" s="43"/>
      <c r="I38" s="43"/>
      <c r="J38" s="43"/>
    </row>
    <row r="39" customFormat="false" ht="23.85" hidden="false" customHeight="true" outlineLevel="0" collapsed="false">
      <c r="A39" s="22" t="s">
        <v>308</v>
      </c>
      <c r="B39" s="22"/>
      <c r="C39" s="22"/>
      <c r="D39" s="45" t="str">
        <f aca="false">IF($D$35="","",IF($D$35=0,"— (no % rent)",IF($D$37&lt;&gt;"",$D$37,IF(E18="","",E18/$D$35))))</f>
        <v>— (no % rent)</v>
      </c>
      <c r="E39" s="36"/>
      <c r="F39" s="36"/>
      <c r="G39" s="36"/>
      <c r="H39" s="36"/>
      <c r="I39" s="36"/>
      <c r="J39" s="36"/>
    </row>
    <row r="40" customFormat="false" ht="15" hidden="false" customHeight="true" outlineLevel="0" collapsed="false">
      <c r="A40" s="22" t="s">
        <v>309</v>
      </c>
      <c r="B40" s="22"/>
      <c r="C40" s="22"/>
      <c r="D40" s="45" t="n">
        <f aca="false">IF(OR($D$35="",D13=""),"",IF($D$35=0,0,IF($D$39="","",MAX(0,D13-$D$39)*$D$35)))</f>
        <v>0</v>
      </c>
      <c r="E40" s="36"/>
      <c r="F40" s="36"/>
      <c r="G40" s="36"/>
      <c r="H40" s="36"/>
      <c r="I40" s="36"/>
      <c r="J40" s="36"/>
    </row>
    <row r="41" customFormat="false" ht="15" hidden="false" customHeight="true" outlineLevel="0" collapsed="false">
      <c r="A41" s="22" t="s">
        <v>310</v>
      </c>
      <c r="B41" s="22"/>
      <c r="C41" s="22"/>
      <c r="D41" s="45" t="n">
        <f aca="false">IF(OR(D40="",E18=""),"",E18+D40)</f>
        <v>93010.8</v>
      </c>
      <c r="E41" s="36"/>
      <c r="F41" s="36"/>
      <c r="G41" s="36"/>
      <c r="H41" s="36"/>
      <c r="I41" s="36"/>
      <c r="J41" s="36"/>
    </row>
    <row r="42" customFormat="false" ht="15" hidden="false" customHeight="true" outlineLevel="0" collapsed="false">
      <c r="A42" s="22" t="s">
        <v>311</v>
      </c>
      <c r="B42" s="22"/>
      <c r="C42" s="22"/>
      <c r="D42" s="46" t="n">
        <f aca="false">IF(OR(D41="",D13=""),"",D41/D13)</f>
        <v>0.0434230501732385</v>
      </c>
      <c r="E42" s="36"/>
      <c r="F42" s="36"/>
      <c r="G42" s="36"/>
      <c r="H42" s="36"/>
      <c r="I42" s="36"/>
      <c r="J42" s="36"/>
    </row>
    <row r="44" customFormat="false" ht="15" hidden="false" customHeight="false" outlineLevel="0" collapsed="false">
      <c r="A44" s="25" t="s">
        <v>312</v>
      </c>
    </row>
    <row r="45" customFormat="false" ht="22.35" hidden="false" customHeight="false" outlineLevel="0" collapsed="false">
      <c r="A45" s="26" t="s">
        <v>313</v>
      </c>
      <c r="B45" s="26" t="s">
        <v>314</v>
      </c>
      <c r="C45" s="26" t="s">
        <v>315</v>
      </c>
      <c r="D45" s="26" t="s">
        <v>316</v>
      </c>
      <c r="E45" s="26" t="s">
        <v>317</v>
      </c>
      <c r="F45" s="26" t="s">
        <v>318</v>
      </c>
      <c r="G45" s="26" t="s">
        <v>319</v>
      </c>
      <c r="H45" s="26" t="s">
        <v>269</v>
      </c>
      <c r="I45" s="26" t="s">
        <v>320</v>
      </c>
      <c r="J45" s="26" t="s">
        <v>321</v>
      </c>
    </row>
    <row r="46" customFormat="false" ht="22.35" hidden="false" customHeight="false" outlineLevel="0" collapsed="false">
      <c r="A46" s="47" t="s">
        <v>322</v>
      </c>
      <c r="B46" s="47" t="s">
        <v>323</v>
      </c>
      <c r="C46" s="47" t="s">
        <v>324</v>
      </c>
      <c r="D46" s="47" t="s">
        <v>325</v>
      </c>
      <c r="E46" s="48"/>
      <c r="F46" s="47" t="s">
        <v>326</v>
      </c>
      <c r="G46" s="47" t="s">
        <v>327</v>
      </c>
      <c r="H46" s="49" t="n">
        <v>209376</v>
      </c>
      <c r="I46" s="50" t="s">
        <v>328</v>
      </c>
      <c r="J46" s="47" t="s">
        <v>329</v>
      </c>
    </row>
    <row r="47" customFormat="false" ht="22.35" hidden="false" customHeight="false" outlineLevel="0" collapsed="false">
      <c r="A47" s="47" t="s">
        <v>330</v>
      </c>
      <c r="B47" s="47" t="s">
        <v>331</v>
      </c>
      <c r="C47" s="47" t="s">
        <v>158</v>
      </c>
      <c r="D47" s="47" t="s">
        <v>332</v>
      </c>
      <c r="E47" s="48"/>
      <c r="F47" s="47" t="s">
        <v>333</v>
      </c>
      <c r="G47" s="47" t="s">
        <v>327</v>
      </c>
      <c r="H47" s="49" t="n">
        <v>185000</v>
      </c>
      <c r="I47" s="47" t="s">
        <v>334</v>
      </c>
      <c r="J47" s="47" t="s">
        <v>335</v>
      </c>
    </row>
    <row r="48" customFormat="false" ht="22.35" hidden="false" customHeight="false" outlineLevel="0" collapsed="false">
      <c r="A48" s="47" t="s">
        <v>336</v>
      </c>
      <c r="B48" s="47" t="s">
        <v>337</v>
      </c>
      <c r="C48" s="47" t="s">
        <v>338</v>
      </c>
      <c r="D48" s="47" t="s">
        <v>339</v>
      </c>
      <c r="E48" s="47" t="s">
        <v>340</v>
      </c>
      <c r="F48" s="47" t="s">
        <v>341</v>
      </c>
      <c r="G48" s="47" t="s">
        <v>327</v>
      </c>
      <c r="H48" s="49" t="n">
        <v>225000</v>
      </c>
      <c r="I48" s="51" t="s">
        <v>342</v>
      </c>
      <c r="J48" s="47" t="s">
        <v>343</v>
      </c>
    </row>
    <row r="49" customFormat="false" ht="15" hidden="false" customHeight="false" outlineLevel="0" collapsed="false">
      <c r="A49" s="52" t="s">
        <v>344</v>
      </c>
      <c r="B49" s="52"/>
      <c r="C49" s="52"/>
      <c r="D49" s="52"/>
      <c r="E49" s="52"/>
      <c r="F49" s="52"/>
      <c r="G49" s="52"/>
      <c r="H49" s="53" t="n">
        <f aca="false">IF(COUNT(H46:H48)=0,"",AVERAGE(H46:H48))</f>
        <v>206458.666666667</v>
      </c>
      <c r="I49" s="52" t="str">
        <f aca="false">IF(COUNT(H46:H48)=0,"",TEXT(MIN(H46:H48),"$#,##0")&amp;" – "&amp;TEXT(MAX(H46:H48),"$#,##0"))</f>
        <v>$185,000 – $225,000</v>
      </c>
      <c r="J49" s="36"/>
    </row>
    <row r="51" customFormat="false" ht="15" hidden="false" customHeight="false" outlineLevel="0" collapsed="false">
      <c r="A51" s="25" t="s">
        <v>345</v>
      </c>
    </row>
    <row r="52" customFormat="false" ht="53.7" hidden="false" customHeight="true" outlineLevel="0" collapsed="false">
      <c r="A52" s="26" t="s">
        <v>346</v>
      </c>
      <c r="B52" s="26"/>
      <c r="C52" s="26"/>
      <c r="D52" s="26" t="s">
        <v>347</v>
      </c>
      <c r="E52" s="26" t="s">
        <v>348</v>
      </c>
      <c r="F52" s="26" t="s">
        <v>349</v>
      </c>
      <c r="G52" s="26" t="s">
        <v>350</v>
      </c>
      <c r="H52" s="54" t="s">
        <v>351</v>
      </c>
    </row>
    <row r="53" customFormat="false" ht="68.65" hidden="false" customHeight="true" outlineLevel="0" collapsed="false">
      <c r="A53" s="22" t="s">
        <v>352</v>
      </c>
      <c r="B53" s="22"/>
      <c r="C53" s="22"/>
      <c r="D53" s="55" t="s">
        <v>353</v>
      </c>
      <c r="E53" s="56"/>
      <c r="F53" s="56"/>
      <c r="G53" s="56"/>
      <c r="H53" s="56"/>
    </row>
    <row r="54" customFormat="false" ht="15" hidden="false" customHeight="true" outlineLevel="0" collapsed="false">
      <c r="A54" s="22" t="s">
        <v>354</v>
      </c>
      <c r="B54" s="22"/>
      <c r="C54" s="22"/>
      <c r="D54" s="57" t="n">
        <v>93011</v>
      </c>
      <c r="E54" s="57"/>
      <c r="F54" s="57"/>
      <c r="G54" s="57"/>
      <c r="H54" s="57"/>
    </row>
    <row r="55" customFormat="false" ht="15" hidden="false" customHeight="true" outlineLevel="0" collapsed="false">
      <c r="A55" s="22" t="s">
        <v>355</v>
      </c>
      <c r="B55" s="22"/>
      <c r="C55" s="22"/>
      <c r="D55" s="58" t="n">
        <v>0.02</v>
      </c>
      <c r="E55" s="58"/>
      <c r="F55" s="58"/>
      <c r="G55" s="58"/>
      <c r="H55" s="58"/>
    </row>
    <row r="56" customFormat="false" ht="15" hidden="false" customHeight="true" outlineLevel="0" collapsed="false">
      <c r="A56" s="22" t="s">
        <v>356</v>
      </c>
      <c r="B56" s="22"/>
      <c r="C56" s="22"/>
      <c r="D56" s="56" t="n">
        <v>5</v>
      </c>
      <c r="E56" s="56"/>
      <c r="F56" s="56"/>
      <c r="G56" s="56"/>
      <c r="H56" s="56"/>
    </row>
    <row r="57" customFormat="false" ht="15" hidden="false" customHeight="true" outlineLevel="0" collapsed="false">
      <c r="A57" s="22" t="s">
        <v>357</v>
      </c>
      <c r="B57" s="22"/>
      <c r="C57" s="22"/>
      <c r="D57" s="59" t="n">
        <v>20</v>
      </c>
      <c r="E57" s="59"/>
      <c r="F57" s="59"/>
      <c r="G57" s="59"/>
      <c r="H57" s="59"/>
    </row>
    <row r="58" customFormat="false" ht="15" hidden="false" customHeight="true" outlineLevel="0" collapsed="false">
      <c r="A58" s="22" t="s">
        <v>358</v>
      </c>
      <c r="B58" s="22"/>
      <c r="C58" s="22"/>
      <c r="D58" s="60" t="n">
        <f aca="false">IF(OR(D54="",E18=""),"",D54-E18)</f>
        <v>0.200000000011642</v>
      </c>
      <c r="E58" s="60" t="str">
        <f aca="false">IF(OR(E54="",E18=""),"",E54-E18)</f>
        <v/>
      </c>
      <c r="F58" s="60" t="str">
        <f aca="false">IF(OR(F54="",E18=""),"",F54-E18)</f>
        <v/>
      </c>
      <c r="G58" s="60" t="str">
        <f aca="false">IF(OR(G54="",E18=""),"",G54-E18)</f>
        <v/>
      </c>
      <c r="H58" s="60" t="str">
        <f aca="false">IF(OR(H54="",E18=""),"",H54-E18)</f>
        <v/>
      </c>
    </row>
    <row r="59" customFormat="false" ht="15" hidden="false" customHeight="true" outlineLevel="0" collapsed="false">
      <c r="A59" s="22" t="s">
        <v>359</v>
      </c>
      <c r="B59" s="22"/>
      <c r="C59" s="22"/>
      <c r="D59" s="61" t="n">
        <f aca="false">IF(OR(D54="",E18=""),"",(D54-E18)/E18)</f>
        <v>2.15028792367813E-006</v>
      </c>
      <c r="E59" s="61" t="str">
        <f aca="false">IF(OR(E54="",E18=""),"",(E54-E18)/E18)</f>
        <v/>
      </c>
      <c r="F59" s="61" t="str">
        <f aca="false">IF(OR(F54="",E18=""),"",(F54-E18)/E18)</f>
        <v/>
      </c>
      <c r="G59" s="61" t="str">
        <f aca="false">IF(OR(G54="",E18=""),"",(G54-E18)/E18)</f>
        <v/>
      </c>
      <c r="H59" s="61" t="str">
        <f aca="false">IF(OR(H54="",E18=""),"",(H54-E18)/E18)</f>
        <v/>
      </c>
    </row>
    <row r="60" customFormat="false" ht="15" hidden="false" customHeight="true" outlineLevel="0" collapsed="false">
      <c r="A60" s="22" t="s">
        <v>360</v>
      </c>
      <c r="B60" s="22"/>
      <c r="C60" s="22"/>
      <c r="D60" s="62" t="n">
        <f aca="false">IF(OR(D54="",D13=""),"",D54/D13)</f>
        <v>0.0434231435452989</v>
      </c>
      <c r="E60" s="62" t="str">
        <f aca="false">IF(OR(E54="",D13=""),"",E54/D13)</f>
        <v/>
      </c>
      <c r="F60" s="62" t="str">
        <f aca="false">IF(OR(F54="",D13=""),"",F54/D13)</f>
        <v/>
      </c>
      <c r="G60" s="62" t="str">
        <f aca="false">IF(OR(G54="",D13=""),"",G54/D13)</f>
        <v/>
      </c>
      <c r="H60" s="62" t="str">
        <f aca="false">IF(OR(H54="",D13=""),"",H54/D13)</f>
        <v/>
      </c>
    </row>
    <row r="61" customFormat="false" ht="15" hidden="false" customHeight="true" outlineLevel="0" collapsed="false">
      <c r="A61" s="22" t="s">
        <v>361</v>
      </c>
      <c r="B61" s="22"/>
      <c r="C61" s="22"/>
      <c r="D61" s="61" t="n">
        <f aca="false">IF(OR(D54="",H49=""),"",(D54-H49)/H49)</f>
        <v>-0.549493361060164</v>
      </c>
      <c r="E61" s="61" t="str">
        <f aca="false">IF(OR(E54="",H49=""),"",(E54-H49)/H49)</f>
        <v/>
      </c>
      <c r="F61" s="61" t="str">
        <f aca="false">IF(OR(F54="",H49=""),"",(F54-H49)/H49)</f>
        <v/>
      </c>
      <c r="G61" s="61" t="str">
        <f aca="false">IF(OR(G54="",H49=""),"",(G54-H49)/H49)</f>
        <v/>
      </c>
      <c r="H61" s="61" t="str">
        <f aca="false">IF(OR(H54="",H49=""),"",(H54-H49)/H49)</f>
        <v/>
      </c>
    </row>
    <row r="62" customFormat="false" ht="15" hidden="false" customHeight="true" outlineLevel="0" collapsed="false">
      <c r="A62" s="22" t="s">
        <v>362</v>
      </c>
      <c r="B62" s="22"/>
      <c r="C62" s="22"/>
      <c r="D62" s="63" t="n">
        <f aca="true">IF(D54="","",SUMPRODUCT(D54*(1+IF(D55="",0,D55))^ROUNDDOWN((ROW(INDIRECT("1:10"))-1)/IF(D56="",5,D56),0)))</f>
        <v>939411.1</v>
      </c>
      <c r="E62" s="63" t="str">
        <f aca="true">IF(E54="","",SUMPRODUCT(E54*(1+IF(E55="",0,E55))^ROUNDDOWN((ROW(INDIRECT("1:10"))-1)/IF(E56="",5,E56),0)))</f>
        <v/>
      </c>
      <c r="F62" s="63" t="str">
        <f aca="true">IF(F54="","",SUMPRODUCT(F54*(1+IF(F55="",0,F55))^ROUNDDOWN((ROW(INDIRECT("1:10"))-1)/IF(F56="",5,F56),0)))</f>
        <v/>
      </c>
      <c r="G62" s="63" t="str">
        <f aca="true">IF(G54="","",SUMPRODUCT(G54*(1+IF(G55="",0,G55))^ROUNDDOWN((ROW(INDIRECT("1:10"))-1)/IF(G56="",5,G56),0)))</f>
        <v/>
      </c>
      <c r="H62" s="63" t="str">
        <f aca="true">IF(H54="","",SUMPRODUCT(H54*(1+IF(H55="",0,H55))^ROUNDDOWN((ROW(INDIRECT("1:10"))-1)/IF(H56="",5,H56),0)))</f>
        <v/>
      </c>
    </row>
    <row r="63" customFormat="false" ht="15" hidden="false" customHeight="true" outlineLevel="0" collapsed="false">
      <c r="A63" s="22" t="s">
        <v>363</v>
      </c>
      <c r="B63" s="22"/>
      <c r="C63" s="22"/>
      <c r="D63" s="60" t="n">
        <f aca="false">IF(OR(D62="",E21=""),"",D62-E21)</f>
        <v>660378.7</v>
      </c>
      <c r="E63" s="60" t="str">
        <f aca="false">IF(OR(E62="",E21=""),"",E62-E21)</f>
        <v/>
      </c>
      <c r="F63" s="60" t="str">
        <f aca="false">IF(OR(F62="",E21=""),"",F62-E21)</f>
        <v/>
      </c>
      <c r="G63" s="60" t="str">
        <f aca="false">IF(OR(G62="",E21=""),"",G62-E21)</f>
        <v/>
      </c>
      <c r="H63" s="60" t="str">
        <f aca="false">IF(OR(H62="",E21=""),"",H62-E21)</f>
        <v/>
      </c>
    </row>
    <row r="64" customFormat="false" ht="23.85" hidden="false" customHeight="true" outlineLevel="0" collapsed="false">
      <c r="A64" s="22" t="s">
        <v>364</v>
      </c>
      <c r="B64" s="22"/>
      <c r="C64" s="22"/>
      <c r="D64" s="58"/>
      <c r="E64" s="58"/>
      <c r="F64" s="58"/>
      <c r="G64" s="58"/>
      <c r="H64" s="58"/>
    </row>
    <row r="65" customFormat="false" ht="23.85" hidden="false" customHeight="true" outlineLevel="0" collapsed="false">
      <c r="A65" s="22" t="s">
        <v>365</v>
      </c>
      <c r="B65" s="22"/>
      <c r="C65" s="22"/>
      <c r="D65" s="57"/>
      <c r="E65" s="57"/>
      <c r="F65" s="57"/>
      <c r="G65" s="57"/>
      <c r="H65" s="57"/>
    </row>
    <row r="66" customFormat="false" ht="15" hidden="false" customHeight="true" outlineLevel="0" collapsed="false">
      <c r="A66" s="22" t="s">
        <v>366</v>
      </c>
      <c r="B66" s="22"/>
      <c r="C66" s="22"/>
      <c r="D66" s="63" t="str">
        <f aca="false">IF(OR(D54="",AND(D64="",$D$35="")),"",IF(IF(D64="",IF($D$35="",0,$D$35),D64)=0,"— (% rent removed)",IF(D65&lt;&gt;"",D65,IF($D$37&lt;&gt;"",$D$37,D54/IF(D64="",IF($D$35="",0,$D$35),D64)))))</f>
        <v>— (% rent removed)</v>
      </c>
      <c r="E66" s="63" t="str">
        <f aca="false">IF(OR(E54="",AND(E64="",$D$35="")),"",IF(IF(E64="",IF($D$35="",0,$D$35),E64)=0,"— (% rent removed)",IF(E65&lt;&gt;"",E65,IF($D$37&lt;&gt;"",$D$37,E54/IF(E64="",IF($D$35="",0,$D$35),E64)))))</f>
        <v/>
      </c>
      <c r="F66" s="63" t="str">
        <f aca="false">IF(OR(F54="",AND(F64="",$D$35="")),"",IF(IF(F64="",IF($D$35="",0,$D$35),F64)=0,"— (% rent removed)",IF(F65&lt;&gt;"",F65,IF($D$37&lt;&gt;"",$D$37,F54/IF(F64="",IF($D$35="",0,$D$35),F64)))))</f>
        <v/>
      </c>
      <c r="G66" s="63" t="str">
        <f aca="false">IF(OR(G54="",AND(G64="",$D$35="")),"",IF(IF(G64="",IF($D$35="",0,$D$35),G64)=0,"— (% rent removed)",IF(G65&lt;&gt;"",G65,IF($D$37&lt;&gt;"",$D$37,G54/IF(G64="",IF($D$35="",0,$D$35),G64)))))</f>
        <v/>
      </c>
      <c r="H66" s="63" t="str">
        <f aca="false">IF(OR(H54="",AND(H64="",$D$35="")),"",IF(IF(H64="",IF($D$35="",0,$D$35),H64)=0,"— (% rent removed)",IF(H65&lt;&gt;"",H65,IF($D$37&lt;&gt;"",$D$37,H54/IF(H64="",IF($D$35="",0,$D$35),H64)))))</f>
        <v/>
      </c>
    </row>
    <row r="67" customFormat="false" ht="15" hidden="false" customHeight="true" outlineLevel="0" collapsed="false">
      <c r="A67" s="22" t="s">
        <v>367</v>
      </c>
      <c r="B67" s="22"/>
      <c r="C67" s="22"/>
      <c r="D67" s="63" t="n">
        <f aca="false">IF(OR(D54="",AND(D64="",$D$35=""),D13=""),"",IF(IF(D64="",IF($D$35="",0,$D$35),D64)=0,0,MAX(0,D13-D66)*IF(D64="",IF($D$35="",0,$D$35),D64)))</f>
        <v>0</v>
      </c>
      <c r="E67" s="63" t="str">
        <f aca="false">IF(OR(E54="",AND(E64="",$D$35=""),D13=""),"",IF(IF(E64="",IF($D$35="",0,$D$35),E64)=0,0,MAX(0,D13-E66)*IF(E64="",IF($D$35="",0,$D$35),E64)))</f>
        <v/>
      </c>
      <c r="F67" s="63" t="str">
        <f aca="false">IF(OR(F54="",AND(F64="",$D$35=""),D13=""),"",IF(IF(F64="",IF($D$35="",0,$D$35),F64)=0,0,MAX(0,D13-F66)*IF(F64="",IF($D$35="",0,$D$35),F64)))</f>
        <v/>
      </c>
      <c r="G67" s="63" t="str">
        <f aca="false">IF(OR(G54="",AND(G64="",$D$35=""),D13=""),"",IF(IF(G64="",IF($D$35="",0,$D$35),G64)=0,0,MAX(0,D13-G66)*IF(G64="",IF($D$35="",0,$D$35),G64)))</f>
        <v/>
      </c>
      <c r="H67" s="63" t="str">
        <f aca="false">IF(OR(H54="",AND(H64="",$D$35=""),D13=""),"",IF(IF(H64="",IF($D$35="",0,$D$35),H64)=0,0,MAX(0,D13-H66)*IF(H64="",IF($D$35="",0,$D$35),H64)))</f>
        <v/>
      </c>
    </row>
    <row r="68" customFormat="false" ht="15" hidden="false" customHeight="true" outlineLevel="0" collapsed="false">
      <c r="A68" s="22" t="s">
        <v>368</v>
      </c>
      <c r="B68" s="22"/>
      <c r="C68" s="22"/>
      <c r="D68" s="63" t="n">
        <f aca="false">IF(OR(D54="",D67=""),"",D54+D67)</f>
        <v>93011</v>
      </c>
      <c r="E68" s="63" t="str">
        <f aca="false">IF(OR(E54="",E67=""),"",E54+E67)</f>
        <v/>
      </c>
      <c r="F68" s="63" t="str">
        <f aca="false">IF(OR(F54="",F67=""),"",F54+F67)</f>
        <v/>
      </c>
      <c r="G68" s="63" t="str">
        <f aca="false">IF(OR(G54="",G67=""),"",G54+G67)</f>
        <v/>
      </c>
      <c r="H68" s="63" t="str">
        <f aca="false">IF(OR(H54="",H67=""),"",H54+H67)</f>
        <v/>
      </c>
    </row>
    <row r="69" customFormat="false" ht="15" hidden="false" customHeight="true" outlineLevel="0" collapsed="false">
      <c r="A69" s="22" t="s">
        <v>369</v>
      </c>
      <c r="B69" s="22"/>
      <c r="C69" s="22"/>
      <c r="D69" s="62" t="n">
        <f aca="false">IF(OR(D68="",D13=""),"",D68/D13)</f>
        <v>0.0434231435452989</v>
      </c>
      <c r="E69" s="62" t="str">
        <f aca="false">IF(OR(E68="",D13=""),"",E68/D13)</f>
        <v/>
      </c>
      <c r="F69" s="62" t="str">
        <f aca="false">IF(OR(F68="",D13=""),"",F68/D13)</f>
        <v/>
      </c>
      <c r="G69" s="62" t="str">
        <f aca="false">IF(OR(G68="",D13=""),"",G68/D13)</f>
        <v/>
      </c>
      <c r="H69" s="62" t="str">
        <f aca="false">IF(OR(H68="",D13=""),"",H68/D13)</f>
        <v/>
      </c>
    </row>
    <row r="70" customFormat="false" ht="23.85" hidden="false" customHeight="true" outlineLevel="0" collapsed="false">
      <c r="A70" s="22" t="s">
        <v>370</v>
      </c>
      <c r="B70" s="22"/>
      <c r="C70" s="22"/>
      <c r="D70" s="64" t="n">
        <f aca="false">IF(D68="","",(480654.76-D68)/2141968.37)</f>
        <v>0.180975482845249</v>
      </c>
      <c r="E70" s="64" t="str">
        <f aca="false">IF(E68="","",(480654.76-E68)/2141968.37)</f>
        <v/>
      </c>
      <c r="F70" s="64" t="str">
        <f aca="false">IF(F68="","",(480654.76-F68)/2141968.37)</f>
        <v/>
      </c>
      <c r="G70" s="64" t="str">
        <f aca="false">IF(G68="","",(480654.76-G68)/2141968.37)</f>
        <v/>
      </c>
      <c r="H70" s="64" t="str">
        <f aca="false">IF(H68="","",(480654.76-H68)/2141968.37)</f>
        <v/>
      </c>
    </row>
    <row r="71" customFormat="false" ht="15" hidden="false" customHeight="true" outlineLevel="0" collapsed="false">
      <c r="A71" s="22" t="s">
        <v>371</v>
      </c>
      <c r="B71" s="22"/>
      <c r="C71" s="22"/>
      <c r="D71" s="63" t="n">
        <f aca="true">IF(OR(D54="",AND(D64="",$D$35=""),D13=""),"",IF(IF(D64="",IF($D$35="",0,$D$35),D64)=0,0,SUMPRODUCT(((D13*1.02^(ROW(INDIRECT("1:10"))-1))-(IF(D65&lt;&gt;"",D65,IF($D$37&lt;&gt;"",$D$37,(D54*(1+IF(D55="",0,D55))^ROUNDDOWN((ROW(INDIRECT("1:10"))-1)/IF(D56="",5,D56),0))/IF(D64="",IF($D$35="",0,$D$35),D64))))&gt;0)*((D13*1.02^(ROW(INDIRECT("1:10"))-1))-(IF(D65&lt;&gt;"",D65,IF($D$37&lt;&gt;"",$D$37,(D54*(1+IF(D55="",0,D55))^ROUNDDOWN((ROW(INDIRECT("1:10"))-1)/IF(D56="",5,D56),0))/IF(D64="",IF($D$35="",0,$D$35),D64))))))*IF(D64="",IF($D$35="",0,$D$35),D64)))</f>
        <v>0</v>
      </c>
      <c r="E71" s="63" t="str">
        <f aca="true">IF(OR(E54="",AND(E64="",$D$35=""),D13=""),"",IF(IF(E64="",IF($D$35="",0,$D$35),E64)=0,0,SUMPRODUCT(((D13*1.02^(ROW(INDIRECT("1:10"))-1))-(IF(E65&lt;&gt;"",E65,IF($D$37&lt;&gt;"",$D$37,(E54*(1+IF(E55="",0,E55))^ROUNDDOWN((ROW(INDIRECT("1:10"))-1)/IF(E56="",5,E56),0))/IF(E64="",IF($D$35="",0,$D$35),E64))))&gt;0)*((D13*1.02^(ROW(INDIRECT("1:10"))-1))-(IF(E65&lt;&gt;"",E65,IF($D$37&lt;&gt;"",$D$37,(E54*(1+IF(E55="",0,E55))^ROUNDDOWN((ROW(INDIRECT("1:10"))-1)/IF(E56="",5,E56),0))/IF(E64="",IF($D$35="",0,$D$35),E64))))))*IF(E64="",IF($D$35="",0,$D$35),E64)))</f>
        <v/>
      </c>
      <c r="F71" s="63" t="str">
        <f aca="true">IF(OR(F54="",AND(F64="",$D$35=""),D13=""),"",IF(IF(F64="",IF($D$35="",0,$D$35),F64)=0,0,SUMPRODUCT(((D13*1.02^(ROW(INDIRECT("1:10"))-1))-(IF(F65&lt;&gt;"",F65,IF($D$37&lt;&gt;"",$D$37,(F54*(1+IF(F55="",0,F55))^ROUNDDOWN((ROW(INDIRECT("1:10"))-1)/IF(F56="",5,F56),0))/IF(F64="",IF($D$35="",0,$D$35),F64))))&gt;0)*((D13*1.02^(ROW(INDIRECT("1:10"))-1))-(IF(F65&lt;&gt;"",F65,IF($D$37&lt;&gt;"",$D$37,(F54*(1+IF(F55="",0,F55))^ROUNDDOWN((ROW(INDIRECT("1:10"))-1)/IF(F56="",5,F56),0))/IF(F64="",IF($D$35="",0,$D$35),F64))))))*IF(F64="",IF($D$35="",0,$D$35),F64)))</f>
        <v/>
      </c>
      <c r="G71" s="63" t="str">
        <f aca="true">IF(OR(G54="",AND(G64="",$D$35=""),D13=""),"",IF(IF(G64="",IF($D$35="",0,$D$35),G64)=0,0,SUMPRODUCT(((D13*1.02^(ROW(INDIRECT("1:10"))-1))-(IF(G65&lt;&gt;"",G65,IF($D$37&lt;&gt;"",$D$37,(G54*(1+IF(G55="",0,G55))^ROUNDDOWN((ROW(INDIRECT("1:10"))-1)/IF(G56="",5,G56),0))/IF(G64="",IF($D$35="",0,$D$35),G64))))&gt;0)*((D13*1.02^(ROW(INDIRECT("1:10"))-1))-(IF(G65&lt;&gt;"",G65,IF($D$37&lt;&gt;"",$D$37,(G54*(1+IF(G55="",0,G55))^ROUNDDOWN((ROW(INDIRECT("1:10"))-1)/IF(G56="",5,G56),0))/IF(G64="",IF($D$35="",0,$D$35),G64))))))*IF(G64="",IF($D$35="",0,$D$35),G64)))</f>
        <v/>
      </c>
      <c r="H71" s="63" t="str">
        <f aca="true">IF(OR(H54="",AND(H64="",$D$35=""),D13=""),"",IF(IF(H64="",IF($D$35="",0,$D$35),H64)=0,0,SUMPRODUCT(((D13*1.02^(ROW(INDIRECT("1:10"))-1))-(IF(H65&lt;&gt;"",H65,IF($D$37&lt;&gt;"",$D$37,(H54*(1+IF(H55="",0,H55))^ROUNDDOWN((ROW(INDIRECT("1:10"))-1)/IF(H56="",5,H56),0))/IF(H64="",IF($D$35="",0,$D$35),H64))))&gt;0)*((D13*1.02^(ROW(INDIRECT("1:10"))-1))-(IF(H65&lt;&gt;"",H65,IF($D$37&lt;&gt;"",$D$37,(H54*(1+IF(H55="",0,H55))^ROUNDDOWN((ROW(INDIRECT("1:10"))-1)/IF(H56="",5,H56),0))/IF(H64="",IF($D$35="",0,$D$35),H64))))))*IF(H64="",IF($D$35="",0,$D$35),H64)))</f>
        <v/>
      </c>
    </row>
    <row r="72" customFormat="false" ht="15" hidden="false" customHeight="true" outlineLevel="0" collapsed="false">
      <c r="A72" s="22" t="s">
        <v>372</v>
      </c>
      <c r="B72" s="22"/>
      <c r="C72" s="22"/>
      <c r="D72" s="63" t="n">
        <f aca="false">IF(OR(D62="",D71=""),"",D62+D71)</f>
        <v>939411.1</v>
      </c>
      <c r="E72" s="63" t="str">
        <f aca="false">IF(OR(E62="",E71=""),"",E62+E71)</f>
        <v/>
      </c>
      <c r="F72" s="63" t="str">
        <f aca="false">IF(OR(F62="",F71=""),"",F62+F71)</f>
        <v/>
      </c>
      <c r="G72" s="63" t="str">
        <f aca="false">IF(OR(G62="",G71=""),"",G62+G71)</f>
        <v/>
      </c>
      <c r="H72" s="63" t="str">
        <f aca="false">IF(OR(H62="",H71=""),"",H62+H71)</f>
        <v/>
      </c>
    </row>
    <row r="73" customFormat="false" ht="23.85" hidden="false" customHeight="true" outlineLevel="0" collapsed="false">
      <c r="A73" s="22" t="s">
        <v>373</v>
      </c>
      <c r="B73" s="22"/>
      <c r="C73" s="22"/>
      <c r="D73" s="65" t="n">
        <f aca="true">IF(D54="","",SUMPRODUCT(D54*(1+IF(D55="",0,D55))^ROUNDDOWN((ROW(INDIRECT("1:"&amp;IF(D57="",10,D57)))-1)/IF(D56="",5,D56),0))+IF(OR(D13="",IF(D64="",IF($D$35="",0,$D$35),D64)=0),0,SUMPRODUCT(((D13*1.02^(ROW(INDIRECT("1:"&amp;IF(D57="",10,D57)))-1))-(IF(D65&lt;&gt;"",D65,IF($D$37&lt;&gt;"",$D$37,(D54*(1+IF(D55="",0,D55))^ROUNDDOWN((ROW(INDIRECT("1:"&amp;IF(D57="",10,D57)))-1)/IF(D56="",5,D56),0))/IF(D64="",IF($D$35="",0,$D$35),D64))))&gt;0)*((D13*1.02^(ROW(INDIRECT("1:"&amp;IF(D57="",10,D57)))-1))-(IF(D65&lt;&gt;"",D65,IF($D$37&lt;&gt;"",$D$37,(D54*(1+IF(D55="",0,D55))^ROUNDDOWN((ROW(INDIRECT("1:"&amp;IF(D57="",10,D57)))-1)/IF(D56="",5,D56),0))/IF(D64="",IF($D$35="",0,$D$35),D64))))))*IF(D64="",IF($D$35="",0,$D$35),D64)))</f>
        <v>1916774.40844</v>
      </c>
      <c r="E73" s="65" t="str">
        <f aca="true">IF(E54="","",SUMPRODUCT(E54*(1+IF(E55="",0,E55))^ROUNDDOWN((ROW(INDIRECT("1:"&amp;IF(E57="",10,E57)))-1)/IF(E56="",5,E56),0))+IF(OR(D13="",IF(E64="",IF($D$35="",0,$D$35),E64)=0),0,SUMPRODUCT(((D13*1.02^(ROW(INDIRECT("1:"&amp;IF(E57="",10,E57)))-1))-(IF(E65&lt;&gt;"",E65,IF($D$37&lt;&gt;"",$D$37,(E54*(1+IF(E55="",0,E55))^ROUNDDOWN((ROW(INDIRECT("1:"&amp;IF(E57="",10,E57)))-1)/IF(E56="",5,E56),0))/IF(E64="",IF($D$35="",0,$D$35),E64))))&gt;0)*((D13*1.02^(ROW(INDIRECT("1:"&amp;IF(E57="",10,E57)))-1))-(IF(E65&lt;&gt;"",E65,IF($D$37&lt;&gt;"",$D$37,(E54*(1+IF(E55="",0,E55))^ROUNDDOWN((ROW(INDIRECT("1:"&amp;IF(E57="",10,E57)))-1)/IF(E56="",5,E56),0))/IF(E64="",IF($D$35="",0,$D$35),E64))))))*IF(E64="",IF($D$35="",0,$D$35),E64)))</f>
        <v/>
      </c>
      <c r="F73" s="65" t="str">
        <f aca="true">IF(F54="","",SUMPRODUCT(F54*(1+IF(F55="",0,F55))^ROUNDDOWN((ROW(INDIRECT("1:"&amp;IF(F57="",10,F57)))-1)/IF(F56="",5,F56),0))+IF(OR(D13="",IF(F64="",IF($D$35="",0,$D$35),F64)=0),0,SUMPRODUCT(((D13*1.02^(ROW(INDIRECT("1:"&amp;IF(F57="",10,F57)))-1))-(IF(F65&lt;&gt;"",F65,IF($D$37&lt;&gt;"",$D$37,(F54*(1+IF(F55="",0,F55))^ROUNDDOWN((ROW(INDIRECT("1:"&amp;IF(F57="",10,F57)))-1)/IF(F56="",5,F56),0))/IF(F64="",IF($D$35="",0,$D$35),F64))))&gt;0)*((D13*1.02^(ROW(INDIRECT("1:"&amp;IF(F57="",10,F57)))-1))-(IF(F65&lt;&gt;"",F65,IF($D$37&lt;&gt;"",$D$37,(F54*(1+IF(F55="",0,F55))^ROUNDDOWN((ROW(INDIRECT("1:"&amp;IF(F57="",10,F57)))-1)/IF(F56="",5,F56),0))/IF(F64="",IF($D$35="",0,$D$35),F64))))))*IF(F64="",IF($D$35="",0,$D$35),F64)))</f>
        <v/>
      </c>
      <c r="G73" s="65" t="str">
        <f aca="true">IF(G54="","",SUMPRODUCT(G54*(1+IF(G55="",0,G55))^ROUNDDOWN((ROW(INDIRECT("1:"&amp;IF(G57="",10,G57)))-1)/IF(G56="",5,G56),0))+IF(OR(D13="",IF(G64="",IF($D$35="",0,$D$35),G64)=0),0,SUMPRODUCT(((D13*1.02^(ROW(INDIRECT("1:"&amp;IF(G57="",10,G57)))-1))-(IF(G65&lt;&gt;"",G65,IF($D$37&lt;&gt;"",$D$37,(G54*(1+IF(G55="",0,G55))^ROUNDDOWN((ROW(INDIRECT("1:"&amp;IF(G57="",10,G57)))-1)/IF(G56="",5,G56),0))/IF(G64="",IF($D$35="",0,$D$35),G64))))&gt;0)*((D13*1.02^(ROW(INDIRECT("1:"&amp;IF(G57="",10,G57)))-1))-(IF(G65&lt;&gt;"",G65,IF($D$37&lt;&gt;"",$D$37,(G54*(1+IF(G55="",0,G55))^ROUNDDOWN((ROW(INDIRECT("1:"&amp;IF(G57="",10,G57)))-1)/IF(G56="",5,G56),0))/IF(G64="",IF($D$35="",0,$D$35),G64))))))*IF(G64="",IF($D$35="",0,$D$35),G64)))</f>
        <v/>
      </c>
      <c r="H73" s="65" t="str">
        <f aca="true">IF(H54="","",SUMPRODUCT(H54*(1+IF(H55="",0,H55))^ROUNDDOWN((ROW(INDIRECT("1:"&amp;IF(H57="",10,H57)))-1)/IF(H56="",5,H56),0))+IF(OR(D13="",IF(H64="",IF($D$35="",0,$D$35),H64)=0),0,SUMPRODUCT(((D13*1.02^(ROW(INDIRECT("1:"&amp;IF(H57="",10,H57)))-1))-(IF(H65&lt;&gt;"",H65,IF($D$37&lt;&gt;"",$D$37,(H54*(1+IF(H55="",0,H55))^ROUNDDOWN((ROW(INDIRECT("1:"&amp;IF(H57="",10,H57)))-1)/IF(H56="",5,H56),0))/IF(H64="",IF($D$35="",0,$D$35),H64))))&gt;0)*((D13*1.02^(ROW(INDIRECT("1:"&amp;IF(H57="",10,H57)))-1))-(IF(H65&lt;&gt;"",H65,IF($D$37&lt;&gt;"",$D$37,(H54*(1+IF(H55="",0,H55))^ROUNDDOWN((ROW(INDIRECT("1:"&amp;IF(H57="",10,H57)))-1)/IF(H56="",5,H56),0))/IF(H64="",IF($D$35="",0,$D$35),H64))))))*IF(H64="",IF($D$35="",0,$D$35),H64)))</f>
        <v/>
      </c>
    </row>
    <row r="74" customFormat="false" ht="15" hidden="false" customHeight="true" outlineLevel="0" collapsed="false">
      <c r="A74" s="22" t="s">
        <v>374</v>
      </c>
      <c r="B74" s="22"/>
      <c r="C74" s="22"/>
      <c r="D74" s="62" t="n">
        <f aca="false">IF(D54="","",IF(D55="",0,(1+D55)^(5/IF(D56="",5,D56))-1))</f>
        <v>0.02</v>
      </c>
      <c r="E74" s="62" t="str">
        <f aca="false">IF(E54="","",IF(E55="",0,(1+E55)^(5/IF(E56="",5,E56))-1))</f>
        <v/>
      </c>
      <c r="F74" s="62" t="str">
        <f aca="false">IF(F54="","",IF(F55="",0,(1+F55)^(5/IF(F56="",5,F56))-1))</f>
        <v/>
      </c>
      <c r="G74" s="62" t="str">
        <f aca="false">IF(G54="","",IF(G55="",0,(1+G55)^(5/IF(G56="",5,G56))-1))</f>
        <v/>
      </c>
      <c r="H74" s="62" t="str">
        <f aca="false">IF(H54="","",IF(H55="",0,(1+H55)^(5/IF(H56="",5,H56))-1))</f>
        <v/>
      </c>
    </row>
    <row r="75" customFormat="false" ht="43.25" hidden="false" customHeight="true" outlineLevel="0" collapsed="false">
      <c r="A75" s="22" t="s">
        <v>375</v>
      </c>
      <c r="B75" s="22"/>
      <c r="C75" s="22"/>
      <c r="D75" s="66" t="str">
        <f aca="false">IF(D74="","",IF(D74&lt;=0,"REDUCTION / FLAT — ladder steps 1-2 (best)",IF(D74&lt;=0.08,"OK — within 8%/5-yr in-house authority (ladder step 3)","ABOVE 8%/5-yr — CEO SIGN-OFF REQUIRED (Rob 8/5/26)")))</f>
        <v>OK — within 8%/5-yr in-house authority (ladder step 3)</v>
      </c>
      <c r="E75" s="66" t="str">
        <f aca="false">IF(E74="","",IF(E74&lt;=0,"REDUCTION / FLAT — ladder steps 1-2 (best)",IF(E74&lt;=0.08,"OK — within 8%/5-yr in-house authority (ladder step 3)","ABOVE 8%/5-yr — CEO SIGN-OFF REQUIRED (Rob 8/5/26)")))</f>
        <v/>
      </c>
      <c r="F75" s="66" t="str">
        <f aca="false">IF(F74="","",IF(F74&lt;=0,"REDUCTION / FLAT — ladder steps 1-2 (best)",IF(F74&lt;=0.08,"OK — within 8%/5-yr in-house authority (ladder step 3)","ABOVE 8%/5-yr — CEO SIGN-OFF REQUIRED (Rob 8/5/26)")))</f>
        <v/>
      </c>
      <c r="G75" s="66" t="str">
        <f aca="false">IF(G74="","",IF(G74&lt;=0,"REDUCTION / FLAT — ladder steps 1-2 (best)",IF(G74&lt;=0.08,"OK — within 8%/5-yr in-house authority (ladder step 3)","ABOVE 8%/5-yr — CEO SIGN-OFF REQUIRED (Rob 8/5/26)")))</f>
        <v/>
      </c>
      <c r="H75" s="66" t="str">
        <f aca="false">IF(H74="","",IF(H74&lt;=0,"REDUCTION / FLAT — ladder steps 1-2 (best)",IF(H74&lt;=0.08,"OK — within 8%/5-yr in-house authority (ladder step 3)","ABOVE 8%/5-yr — CEO SIGN-OFF REQUIRED (Rob 8/5/26)")))</f>
        <v/>
      </c>
    </row>
    <row r="76" customFormat="false" ht="23.85" hidden="false" customHeight="true" outlineLevel="0" collapsed="false">
      <c r="A76" s="22" t="s">
        <v>376</v>
      </c>
      <c r="B76" s="22"/>
      <c r="C76" s="22"/>
      <c r="D76" s="62" t="n">
        <f aca="false">IF(OR(D54="",D13=""),"",((D54*(1+IF(D55="",0,D55))^ROUNDDOWN(9/IF(D56="",5,D56),0))+IF(IF(D64="",IF($D$35="",0,$D$35),D64)=0,0,MAX(0,D13*1.02^9-IF(D65&lt;&gt;"",D65,IF($D$37&lt;&gt;"",$D$37,(D54*(1+IF(D55="",0,D55))^ROUNDDOWN(9/IF(D56="",5,D56),0))/IF(D64="",IF($D$35="",0,$D$35),D64))))*IF(D64="",IF($D$35="",0,$D$35),D64)))/(D13*1.02^9))</f>
        <v>0.0370612349027187</v>
      </c>
      <c r="E76" s="62" t="str">
        <f aca="false">IF(OR(E54="",D13=""),"",((E54*(1+IF(E55="",0,E55))^ROUNDDOWN(9/IF(E56="",5,E56),0))+IF(IF(E64="",IF($D$35="",0,$D$35),E64)=0,0,MAX(0,D13*1.02^9-IF(E65&lt;&gt;"",E65,IF($D$37&lt;&gt;"",$D$37,(E54*(1+IF(E55="",0,E55))^ROUNDDOWN(9/IF(E56="",5,E56),0))/IF(E64="",IF($D$35="",0,$D$35),E64))))*IF(E64="",IF($D$35="",0,$D$35),E64)))/(D13*1.02^9))</f>
        <v/>
      </c>
      <c r="F76" s="62" t="str">
        <f aca="false">IF(OR(F54="",D13=""),"",((F54*(1+IF(F55="",0,F55))^ROUNDDOWN(9/IF(F56="",5,F56),0))+IF(IF(F64="",IF($D$35="",0,$D$35),F64)=0,0,MAX(0,D13*1.02^9-IF(F65&lt;&gt;"",F65,IF($D$37&lt;&gt;"",$D$37,(F54*(1+IF(F55="",0,F55))^ROUNDDOWN(9/IF(F56="",5,F56),0))/IF(F64="",IF($D$35="",0,$D$35),F64))))*IF(F64="",IF($D$35="",0,$D$35),F64)))/(D13*1.02^9))</f>
        <v/>
      </c>
      <c r="G76" s="62" t="str">
        <f aca="false">IF(OR(G54="",D13=""),"",((G54*(1+IF(G55="",0,G55))^ROUNDDOWN(9/IF(G56="",5,G56),0))+IF(IF(G64="",IF($D$35="",0,$D$35),G64)=0,0,MAX(0,D13*1.02^9-IF(G65&lt;&gt;"",G65,IF($D$37&lt;&gt;"",$D$37,(G54*(1+IF(G55="",0,G55))^ROUNDDOWN(9/IF(G56="",5,G56),0))/IF(G64="",IF($D$35="",0,$D$35),G64))))*IF(G64="",IF($D$35="",0,$D$35),G64)))/(D13*1.02^9))</f>
        <v/>
      </c>
      <c r="H76" s="62" t="str">
        <f aca="false">IF(OR(H54="",D13=""),"",((H54*(1+IF(H55="",0,H55))^ROUNDDOWN(9/IF(H56="",5,H56),0))+IF(IF(H64="",IF($D$35="",0,$D$35),H64)=0,0,MAX(0,D13*1.02^9-IF(H65&lt;&gt;"",H65,IF($D$37&lt;&gt;"",$D$37,(H54*(1+IF(H55="",0,H55))^ROUNDDOWN(9/IF(H56="",5,H56),0))/IF(H64="",IF($D$35="",0,$D$35),H64))))*IF(H64="",IF($D$35="",0,$D$35),H64)))/(D13*1.02^9))</f>
        <v/>
      </c>
    </row>
    <row r="77" customFormat="false" ht="23.85" hidden="false" customHeight="true" outlineLevel="0" collapsed="false">
      <c r="A77" s="22" t="s">
        <v>377</v>
      </c>
      <c r="B77" s="22"/>
      <c r="C77" s="22"/>
      <c r="D77" s="66" t="str">
        <f aca="false">IF(OR(D76="",D69=""),"",IF(MAX(D69,D76)&gt;=0.08,"HARD STOP — occupancy at/above 8% of sales: STOP, CEO sign-off before responding",IF(MAX(D69,D76)&gt;0.07,"Above Kim 7% alert — approaching 8% hard stop","OK — under 7% alert")))</f>
        <v>OK — under 7% alert</v>
      </c>
      <c r="E77" s="66" t="str">
        <f aca="false">IF(OR(E76="",E69=""),"",IF(MAX(E69,E76)&gt;=0.08,"HARD STOP — occupancy at/above 8% of sales: STOP, CEO sign-off before responding",IF(MAX(E69,E76)&gt;0.07,"Above Kim 7% alert — approaching 8% hard stop","OK — under 7% alert")))</f>
        <v/>
      </c>
      <c r="F77" s="66" t="str">
        <f aca="false">IF(OR(F76="",F69=""),"",IF(MAX(F69,F76)&gt;=0.08,"HARD STOP — occupancy at/above 8% of sales: STOP, CEO sign-off before responding",IF(MAX(F69,F76)&gt;0.07,"Above Kim 7% alert — approaching 8% hard stop","OK — under 7% alert")))</f>
        <v/>
      </c>
      <c r="G77" s="66" t="str">
        <f aca="false">IF(OR(G76="",G69=""),"",IF(MAX(G69,G76)&gt;=0.08,"HARD STOP — occupancy at/above 8% of sales: STOP, CEO sign-off before responding",IF(MAX(G69,G76)&gt;0.07,"Above Kim 7% alert — approaching 8% hard stop","OK — under 7% alert")))</f>
        <v/>
      </c>
      <c r="H77" s="66" t="str">
        <f aca="false">IF(OR(H76="",H69=""),"",IF(MAX(H69,H76)&gt;=0.08,"HARD STOP — occupancy at/above 8% of sales: STOP, CEO sign-off before responding",IF(MAX(H69,H76)&gt;0.07,"Above Kim 7% alert — approaching 8% hard stop","OK — under 7% alert")))</f>
        <v/>
      </c>
    </row>
    <row r="79" customFormat="false" ht="22.35" hidden="false" customHeight="true" outlineLevel="0" collapsed="false">
      <c r="A79" s="67" t="s">
        <v>378</v>
      </c>
      <c r="B79" s="67"/>
      <c r="C79" s="67"/>
      <c r="D79" s="67"/>
      <c r="E79" s="67"/>
      <c r="F79" s="67"/>
      <c r="G79" s="67"/>
      <c r="H79" s="67"/>
      <c r="I79" s="67"/>
      <c r="J79" s="67"/>
    </row>
    <row r="80" customFormat="false" ht="22.35" hidden="false" customHeight="true" outlineLevel="0" collapsed="false">
      <c r="A80" s="68" t="s">
        <v>379</v>
      </c>
      <c r="B80" s="68"/>
      <c r="C80" s="68"/>
      <c r="D80" s="68"/>
      <c r="E80" s="68"/>
      <c r="F80" s="68"/>
      <c r="G80" s="68"/>
      <c r="H80" s="68"/>
      <c r="I80" s="68"/>
      <c r="J80" s="68"/>
    </row>
    <row r="82" customFormat="false" ht="15" hidden="false" customHeight="false" outlineLevel="0" collapsed="false">
      <c r="A82" s="69" t="s">
        <v>380</v>
      </c>
      <c r="B82" s="69"/>
      <c r="C82" s="69"/>
      <c r="D82" s="69"/>
      <c r="E82" s="69"/>
      <c r="F82" s="69"/>
      <c r="G82" s="69"/>
      <c r="H82" s="69"/>
      <c r="I82" s="69"/>
      <c r="J82" s="69"/>
    </row>
    <row r="85" customFormat="false" ht="15" hidden="false" customHeight="false" outlineLevel="0" collapsed="false">
      <c r="A85" s="25" t="s">
        <v>381</v>
      </c>
    </row>
    <row r="86" customFormat="false" ht="15" hidden="false" customHeight="false" outlineLevel="0" collapsed="false">
      <c r="A86" s="69" t="s">
        <v>382</v>
      </c>
      <c r="B86" s="69"/>
      <c r="C86" s="69"/>
      <c r="D86" s="69"/>
      <c r="E86" s="69"/>
      <c r="F86" s="69"/>
      <c r="G86" s="69"/>
      <c r="H86" s="69"/>
      <c r="I86" s="69"/>
      <c r="J86" s="69"/>
      <c r="K86" s="69"/>
      <c r="L86" s="69"/>
      <c r="M86" s="69"/>
      <c r="N86" s="69"/>
      <c r="O86" s="69"/>
      <c r="P86" s="69"/>
      <c r="Q86" s="69"/>
      <c r="R86" s="69"/>
      <c r="S86" s="69"/>
      <c r="T86" s="69"/>
    </row>
    <row r="87" customFormat="false" ht="15" hidden="false" customHeight="true" outlineLevel="0" collapsed="false">
      <c r="A87" s="70" t="s">
        <v>383</v>
      </c>
      <c r="B87" s="70" t="s">
        <v>384</v>
      </c>
      <c r="C87" s="71" t="s">
        <v>385</v>
      </c>
      <c r="D87" s="71"/>
      <c r="E87" s="71"/>
      <c r="F87" s="71" t="s">
        <v>386</v>
      </c>
      <c r="G87" s="71"/>
      <c r="H87" s="71"/>
      <c r="I87" s="71" t="s">
        <v>387</v>
      </c>
      <c r="J87" s="71"/>
      <c r="K87" s="71"/>
      <c r="L87" s="71" t="s">
        <v>388</v>
      </c>
      <c r="M87" s="71"/>
      <c r="N87" s="71"/>
      <c r="O87" s="71" t="s">
        <v>389</v>
      </c>
      <c r="P87" s="71"/>
      <c r="Q87" s="71"/>
      <c r="R87" s="72" t="s">
        <v>390</v>
      </c>
      <c r="S87" s="72"/>
      <c r="T87" s="72"/>
    </row>
    <row r="88" customFormat="false" ht="15" hidden="false" customHeight="false" outlineLevel="0" collapsed="false">
      <c r="A88" s="73"/>
      <c r="B88" s="73"/>
      <c r="C88" s="73" t="s">
        <v>391</v>
      </c>
      <c r="D88" s="73" t="s">
        <v>392</v>
      </c>
      <c r="E88" s="73" t="s">
        <v>393</v>
      </c>
      <c r="F88" s="73" t="s">
        <v>391</v>
      </c>
      <c r="G88" s="73" t="s">
        <v>392</v>
      </c>
      <c r="H88" s="73" t="s">
        <v>393</v>
      </c>
      <c r="I88" s="73" t="s">
        <v>391</v>
      </c>
      <c r="J88" s="73" t="s">
        <v>392</v>
      </c>
      <c r="K88" s="73" t="s">
        <v>393</v>
      </c>
      <c r="L88" s="73" t="s">
        <v>391</v>
      </c>
      <c r="M88" s="73" t="s">
        <v>392</v>
      </c>
      <c r="N88" s="73" t="s">
        <v>393</v>
      </c>
      <c r="O88" s="73" t="s">
        <v>391</v>
      </c>
      <c r="P88" s="73" t="s">
        <v>392</v>
      </c>
      <c r="Q88" s="73" t="s">
        <v>393</v>
      </c>
      <c r="R88" s="73" t="s">
        <v>391</v>
      </c>
      <c r="S88" s="73" t="s">
        <v>392</v>
      </c>
      <c r="T88" s="73" t="s">
        <v>393</v>
      </c>
    </row>
    <row r="89" customFormat="false" ht="15" hidden="false" customHeight="false" outlineLevel="0" collapsed="false">
      <c r="A89" s="74" t="n">
        <v>1</v>
      </c>
      <c r="B89" s="75" t="n">
        <v>2141968</v>
      </c>
      <c r="C89" s="76" t="n">
        <v>93011</v>
      </c>
      <c r="D89" s="76" t="n">
        <v>0</v>
      </c>
      <c r="E89" s="76" t="n">
        <v>93011</v>
      </c>
      <c r="F89" s="75" t="n">
        <f aca="false">IF(D54="","",IF(1&gt;IF(D57="",10,D57),"",D54*(1+IF(D55="",0,D55))^ROUNDDOWN((1-1)/IF(D56="",5,D56),0)))</f>
        <v>93011</v>
      </c>
      <c r="G89" s="75" t="n">
        <f aca="false">IF(F89="","",IF((IF(D64="",IF($D$35="",0,$D$35),D64))=0,0,MAX(0,2141968.37-(IF(D65&lt;&gt;"",D65,IF($D$37&lt;&gt;"",$D$37,IF((IF(D64="",IF($D$35="",0,$D$35),D64))=0,0,D54/(IF(D64="",IF($D$35="",0,$D$35),D64)))))))*(IF(D64="",IF($D$35="",0,$D$35),D64))))</f>
        <v>0</v>
      </c>
      <c r="H89" s="75" t="n">
        <f aca="false">IF(F89="","",F89+G89)</f>
        <v>93011</v>
      </c>
      <c r="I89" s="75" t="str">
        <f aca="false">IF(E54="","",IF(1&gt;IF(E57="",10,E57),"",E54*(1+IF(E55="",0,E55))^ROUNDDOWN((1-1)/IF(E56="",5,E56),0)))</f>
        <v/>
      </c>
      <c r="J89" s="75" t="str">
        <f aca="false">IF(I89="","",IF((IF(E64="",IF($D$35="",0,$D$35),E64))=0,0,MAX(0,2141968.37-(IF(E65&lt;&gt;"",E65,IF($D$37&lt;&gt;"",$D$37,IF((IF(E64="",IF($D$35="",0,$D$35),E64))=0,0,E54/(IF(E64="",IF($D$35="",0,$D$35),E64)))))))*(IF(E64="",IF($D$35="",0,$D$35),E64))))</f>
        <v/>
      </c>
      <c r="K89" s="75" t="str">
        <f aca="false">IF(I89="","",I89+J89)</f>
        <v/>
      </c>
      <c r="L89" s="75" t="str">
        <f aca="false">IF(F54="","",IF(1&gt;IF(F57="",10,F57),"",F54*(1+IF(F55="",0,F55))^ROUNDDOWN((1-1)/IF(F56="",5,F56),0)))</f>
        <v/>
      </c>
      <c r="M89" s="75" t="str">
        <f aca="false">IF(L89="","",IF((IF(F64="",IF($D$35="",0,$D$35),F64))=0,0,MAX(0,2141968.37-(IF(F65&lt;&gt;"",F65,IF($D$37&lt;&gt;"",$D$37,IF((IF(F64="",IF($D$35="",0,$D$35),F64))=0,0,F54/(IF(F64="",IF($D$35="",0,$D$35),F64)))))))*(IF(F64="",IF($D$35="",0,$D$35),F64))))</f>
        <v/>
      </c>
      <c r="N89" s="75" t="str">
        <f aca="false">IF(L89="","",L89+M89)</f>
        <v/>
      </c>
      <c r="O89" s="75" t="str">
        <f aca="false">IF(G54="","",IF(1&gt;IF(G57="",10,G57),"",G54*(1+IF(G55="",0,G55))^ROUNDDOWN((1-1)/IF(G56="",5,G56),0)))</f>
        <v/>
      </c>
      <c r="P89" s="75" t="str">
        <f aca="false">IF(O89="","",IF((IF(G64="",IF($D$35="",0,$D$35),G64))=0,0,MAX(0,2141968.37-(IF(G65&lt;&gt;"",G65,IF($D$37&lt;&gt;"",$D$37,IF((IF(G64="",IF($D$35="",0,$D$35),G64))=0,0,G54/(IF(G64="",IF($D$35="",0,$D$35),G64)))))))*(IF(G64="",IF($D$35="",0,$D$35),G64))))</f>
        <v/>
      </c>
      <c r="Q89" s="75" t="str">
        <f aca="false">IF(O89="","",O89+P89)</f>
        <v/>
      </c>
      <c r="R89" s="75" t="str">
        <f aca="false">IF(H54="","",IF(1&gt;IF(H57="",10,H57),"",H54*(1+IF(H55="",0,H55))^ROUNDDOWN((1-1)/IF(H56="",5,H56),0)))</f>
        <v/>
      </c>
      <c r="S89" s="75" t="str">
        <f aca="false">IF(R89="","",IF((IF(H64="",IF($D$35="",0,$D$35),H64))=0,0,MAX(0,2141968.37-(IF(H65&lt;&gt;"",H65,IF($D$37&lt;&gt;"",$D$37,IF((IF(H64="",IF($D$35="",0,$D$35),H64))=0,0,H54/(IF(H64="",IF($D$35="",0,$D$35),H64)))))))*(IF(H64="",IF($D$35="",0,$D$35),H64))))</f>
        <v/>
      </c>
      <c r="T89" s="75" t="str">
        <f aca="false">IF(R89="","",R89+S89)</f>
        <v/>
      </c>
    </row>
    <row r="90" customFormat="false" ht="15" hidden="false" customHeight="false" outlineLevel="0" collapsed="false">
      <c r="A90" s="74" t="n">
        <v>2</v>
      </c>
      <c r="B90" s="75" t="n">
        <v>2184808</v>
      </c>
      <c r="C90" s="76" t="n">
        <v>93011</v>
      </c>
      <c r="D90" s="76" t="n">
        <v>0</v>
      </c>
      <c r="E90" s="76" t="n">
        <v>93011</v>
      </c>
      <c r="F90" s="75" t="n">
        <f aca="false">IF(D54="","",IF(2&gt;IF(D57="",10,D57),"",D54*(1+IF(D55="",0,D55))^ROUNDDOWN((2-1)/IF(D56="",5,D56),0)))</f>
        <v>93011</v>
      </c>
      <c r="G90" s="75" t="n">
        <f aca="false">IF(F90="","",IF((IF(D64="",IF($D$35="",0,$D$35),D64))=0,0,MAX(0,2184807.74-(IF(D65&lt;&gt;"",D65,IF($D$37&lt;&gt;"",$D$37,IF((IF(D64="",IF($D$35="",0,$D$35),D64))=0,0,D54/(IF(D64="",IF($D$35="",0,$D$35),D64)))))))*(IF(D64="",IF($D$35="",0,$D$35),D64))))</f>
        <v>0</v>
      </c>
      <c r="H90" s="75" t="n">
        <f aca="false">IF(F90="","",F90+G90)</f>
        <v>93011</v>
      </c>
      <c r="I90" s="75" t="str">
        <f aca="false">IF(E54="","",IF(2&gt;IF(E57="",10,E57),"",E54*(1+IF(E55="",0,E55))^ROUNDDOWN((2-1)/IF(E56="",5,E56),0)))</f>
        <v/>
      </c>
      <c r="J90" s="75" t="str">
        <f aca="false">IF(I90="","",IF((IF(E64="",IF($D$35="",0,$D$35),E64))=0,0,MAX(0,2184807.74-(IF(E65&lt;&gt;"",E65,IF($D$37&lt;&gt;"",$D$37,IF((IF(E64="",IF($D$35="",0,$D$35),E64))=0,0,E54/(IF(E64="",IF($D$35="",0,$D$35),E64)))))))*(IF(E64="",IF($D$35="",0,$D$35),E64))))</f>
        <v/>
      </c>
      <c r="K90" s="75" t="str">
        <f aca="false">IF(I90="","",I90+J90)</f>
        <v/>
      </c>
      <c r="L90" s="75" t="str">
        <f aca="false">IF(F54="","",IF(2&gt;IF(F57="",10,F57),"",F54*(1+IF(F55="",0,F55))^ROUNDDOWN((2-1)/IF(F56="",5,F56),0)))</f>
        <v/>
      </c>
      <c r="M90" s="75" t="str">
        <f aca="false">IF(L90="","",IF((IF(F64="",IF($D$35="",0,$D$35),F64))=0,0,MAX(0,2184807.74-(IF(F65&lt;&gt;"",F65,IF($D$37&lt;&gt;"",$D$37,IF((IF(F64="",IF($D$35="",0,$D$35),F64))=0,0,F54/(IF(F64="",IF($D$35="",0,$D$35),F64)))))))*(IF(F64="",IF($D$35="",0,$D$35),F64))))</f>
        <v/>
      </c>
      <c r="N90" s="75" t="str">
        <f aca="false">IF(L90="","",L90+M90)</f>
        <v/>
      </c>
      <c r="O90" s="75" t="str">
        <f aca="false">IF(G54="","",IF(2&gt;IF(G57="",10,G57),"",G54*(1+IF(G55="",0,G55))^ROUNDDOWN((2-1)/IF(G56="",5,G56),0)))</f>
        <v/>
      </c>
      <c r="P90" s="75" t="str">
        <f aca="false">IF(O90="","",IF((IF(G64="",IF($D$35="",0,$D$35),G64))=0,0,MAX(0,2184807.74-(IF(G65&lt;&gt;"",G65,IF($D$37&lt;&gt;"",$D$37,IF((IF(G64="",IF($D$35="",0,$D$35),G64))=0,0,G54/(IF(G64="",IF($D$35="",0,$D$35),G64)))))))*(IF(G64="",IF($D$35="",0,$D$35),G64))))</f>
        <v/>
      </c>
      <c r="Q90" s="75" t="str">
        <f aca="false">IF(O90="","",O90+P90)</f>
        <v/>
      </c>
      <c r="R90" s="75" t="str">
        <f aca="false">IF(H54="","",IF(2&gt;IF(H57="",10,H57),"",H54*(1+IF(H55="",0,H55))^ROUNDDOWN((2-1)/IF(H56="",5,H56),0)))</f>
        <v/>
      </c>
      <c r="S90" s="75" t="str">
        <f aca="false">IF(R90="","",IF((IF(H64="",IF($D$35="",0,$D$35),H64))=0,0,MAX(0,2184807.74-(IF(H65&lt;&gt;"",H65,IF($D$37&lt;&gt;"",$D$37,IF((IF(H64="",IF($D$35="",0,$D$35),H64))=0,0,H54/(IF(H64="",IF($D$35="",0,$D$35),H64)))))))*(IF(H64="",IF($D$35="",0,$D$35),H64))))</f>
        <v/>
      </c>
      <c r="T90" s="75" t="str">
        <f aca="false">IF(R90="","",R90+S90)</f>
        <v/>
      </c>
    </row>
    <row r="91" customFormat="false" ht="15" hidden="false" customHeight="false" outlineLevel="0" collapsed="false">
      <c r="A91" s="74" t="n">
        <v>3</v>
      </c>
      <c r="B91" s="75" t="n">
        <v>2228504</v>
      </c>
      <c r="C91" s="76" t="n">
        <v>93011</v>
      </c>
      <c r="D91" s="76" t="n">
        <v>0</v>
      </c>
      <c r="E91" s="76" t="n">
        <v>93011</v>
      </c>
      <c r="F91" s="75" t="n">
        <f aca="false">IF(D54="","",IF(3&gt;IF(D57="",10,D57),"",D54*(1+IF(D55="",0,D55))^ROUNDDOWN((3-1)/IF(D56="",5,D56),0)))</f>
        <v>93011</v>
      </c>
      <c r="G91" s="75" t="n">
        <f aca="false">IF(F91="","",IF((IF(D64="",IF($D$35="",0,$D$35),D64))=0,0,MAX(0,2228503.89-(IF(D65&lt;&gt;"",D65,IF($D$37&lt;&gt;"",$D$37,IF((IF(D64="",IF($D$35="",0,$D$35),D64))=0,0,D54/(IF(D64="",IF($D$35="",0,$D$35),D64)))))))*(IF(D64="",IF($D$35="",0,$D$35),D64))))</f>
        <v>0</v>
      </c>
      <c r="H91" s="75" t="n">
        <f aca="false">IF(F91="","",F91+G91)</f>
        <v>93011</v>
      </c>
      <c r="I91" s="75" t="str">
        <f aca="false">IF(E54="","",IF(3&gt;IF(E57="",10,E57),"",E54*(1+IF(E55="",0,E55))^ROUNDDOWN((3-1)/IF(E56="",5,E56),0)))</f>
        <v/>
      </c>
      <c r="J91" s="75" t="str">
        <f aca="false">IF(I91="","",IF((IF(E64="",IF($D$35="",0,$D$35),E64))=0,0,MAX(0,2228503.89-(IF(E65&lt;&gt;"",E65,IF($D$37&lt;&gt;"",$D$37,IF((IF(E64="",IF($D$35="",0,$D$35),E64))=0,0,E54/(IF(E64="",IF($D$35="",0,$D$35),E64)))))))*(IF(E64="",IF($D$35="",0,$D$35),E64))))</f>
        <v/>
      </c>
      <c r="K91" s="75" t="str">
        <f aca="false">IF(I91="","",I91+J91)</f>
        <v/>
      </c>
      <c r="L91" s="75" t="str">
        <f aca="false">IF(F54="","",IF(3&gt;IF(F57="",10,F57),"",F54*(1+IF(F55="",0,F55))^ROUNDDOWN((3-1)/IF(F56="",5,F56),0)))</f>
        <v/>
      </c>
      <c r="M91" s="75" t="str">
        <f aca="false">IF(L91="","",IF((IF(F64="",IF($D$35="",0,$D$35),F64))=0,0,MAX(0,2228503.89-(IF(F65&lt;&gt;"",F65,IF($D$37&lt;&gt;"",$D$37,IF((IF(F64="",IF($D$35="",0,$D$35),F64))=0,0,F54/(IF(F64="",IF($D$35="",0,$D$35),F64)))))))*(IF(F64="",IF($D$35="",0,$D$35),F64))))</f>
        <v/>
      </c>
      <c r="N91" s="75" t="str">
        <f aca="false">IF(L91="","",L91+M91)</f>
        <v/>
      </c>
      <c r="O91" s="75" t="str">
        <f aca="false">IF(G54="","",IF(3&gt;IF(G57="",10,G57),"",G54*(1+IF(G55="",0,G55))^ROUNDDOWN((3-1)/IF(G56="",5,G56),0)))</f>
        <v/>
      </c>
      <c r="P91" s="75" t="str">
        <f aca="false">IF(O91="","",IF((IF(G64="",IF($D$35="",0,$D$35),G64))=0,0,MAX(0,2228503.89-(IF(G65&lt;&gt;"",G65,IF($D$37&lt;&gt;"",$D$37,IF((IF(G64="",IF($D$35="",0,$D$35),G64))=0,0,G54/(IF(G64="",IF($D$35="",0,$D$35),G64)))))))*(IF(G64="",IF($D$35="",0,$D$35),G64))))</f>
        <v/>
      </c>
      <c r="Q91" s="75" t="str">
        <f aca="false">IF(O91="","",O91+P91)</f>
        <v/>
      </c>
      <c r="R91" s="75" t="str">
        <f aca="false">IF(H54="","",IF(3&gt;IF(H57="",10,H57),"",H54*(1+IF(H55="",0,H55))^ROUNDDOWN((3-1)/IF(H56="",5,H56),0)))</f>
        <v/>
      </c>
      <c r="S91" s="75" t="str">
        <f aca="false">IF(R91="","",IF((IF(H64="",IF($D$35="",0,$D$35),H64))=0,0,MAX(0,2228503.89-(IF(H65&lt;&gt;"",H65,IF($D$37&lt;&gt;"",$D$37,IF((IF(H64="",IF($D$35="",0,$D$35),H64))=0,0,H54/(IF(H64="",IF($D$35="",0,$D$35),H64)))))))*(IF(H64="",IF($D$35="",0,$D$35),H64))))</f>
        <v/>
      </c>
      <c r="T91" s="75" t="str">
        <f aca="false">IF(R91="","",R91+S91)</f>
        <v/>
      </c>
    </row>
    <row r="92" customFormat="false" ht="15" hidden="false" customHeight="false" outlineLevel="0" collapsed="false">
      <c r="A92" s="74" t="n">
        <v>4</v>
      </c>
      <c r="B92" s="75" t="n">
        <v>2273074</v>
      </c>
      <c r="C92" s="76" t="n">
        <v>93011</v>
      </c>
      <c r="D92" s="76" t="n">
        <v>0</v>
      </c>
      <c r="E92" s="76" t="n">
        <v>93011</v>
      </c>
      <c r="F92" s="75" t="n">
        <f aca="false">IF(D54="","",IF(4&gt;IF(D57="",10,D57),"",D54*(1+IF(D55="",0,D55))^ROUNDDOWN((4-1)/IF(D56="",5,D56),0)))</f>
        <v>93011</v>
      </c>
      <c r="G92" s="75" t="n">
        <f aca="false">IF(F92="","",IF((IF(D64="",IF($D$35="",0,$D$35),D64))=0,0,MAX(0,2273073.97-(IF(D65&lt;&gt;"",D65,IF($D$37&lt;&gt;"",$D$37,IF((IF(D64="",IF($D$35="",0,$D$35),D64))=0,0,D54/(IF(D64="",IF($D$35="",0,$D$35),D64)))))))*(IF(D64="",IF($D$35="",0,$D$35),D64))))</f>
        <v>0</v>
      </c>
      <c r="H92" s="75" t="n">
        <f aca="false">IF(F92="","",F92+G92)</f>
        <v>93011</v>
      </c>
      <c r="I92" s="75" t="str">
        <f aca="false">IF(E54="","",IF(4&gt;IF(E57="",10,E57),"",E54*(1+IF(E55="",0,E55))^ROUNDDOWN((4-1)/IF(E56="",5,E56),0)))</f>
        <v/>
      </c>
      <c r="J92" s="75" t="str">
        <f aca="false">IF(I92="","",IF((IF(E64="",IF($D$35="",0,$D$35),E64))=0,0,MAX(0,2273073.97-(IF(E65&lt;&gt;"",E65,IF($D$37&lt;&gt;"",$D$37,IF((IF(E64="",IF($D$35="",0,$D$35),E64))=0,0,E54/(IF(E64="",IF($D$35="",0,$D$35),E64)))))))*(IF(E64="",IF($D$35="",0,$D$35),E64))))</f>
        <v/>
      </c>
      <c r="K92" s="75" t="str">
        <f aca="false">IF(I92="","",I92+J92)</f>
        <v/>
      </c>
      <c r="L92" s="75" t="str">
        <f aca="false">IF(F54="","",IF(4&gt;IF(F57="",10,F57),"",F54*(1+IF(F55="",0,F55))^ROUNDDOWN((4-1)/IF(F56="",5,F56),0)))</f>
        <v/>
      </c>
      <c r="M92" s="75" t="str">
        <f aca="false">IF(L92="","",IF((IF(F64="",IF($D$35="",0,$D$35),F64))=0,0,MAX(0,2273073.97-(IF(F65&lt;&gt;"",F65,IF($D$37&lt;&gt;"",$D$37,IF((IF(F64="",IF($D$35="",0,$D$35),F64))=0,0,F54/(IF(F64="",IF($D$35="",0,$D$35),F64)))))))*(IF(F64="",IF($D$35="",0,$D$35),F64))))</f>
        <v/>
      </c>
      <c r="N92" s="75" t="str">
        <f aca="false">IF(L92="","",L92+M92)</f>
        <v/>
      </c>
      <c r="O92" s="75" t="str">
        <f aca="false">IF(G54="","",IF(4&gt;IF(G57="",10,G57),"",G54*(1+IF(G55="",0,G55))^ROUNDDOWN((4-1)/IF(G56="",5,G56),0)))</f>
        <v/>
      </c>
      <c r="P92" s="75" t="str">
        <f aca="false">IF(O92="","",IF((IF(G64="",IF($D$35="",0,$D$35),G64))=0,0,MAX(0,2273073.97-(IF(G65&lt;&gt;"",G65,IF($D$37&lt;&gt;"",$D$37,IF((IF(G64="",IF($D$35="",0,$D$35),G64))=0,0,G54/(IF(G64="",IF($D$35="",0,$D$35),G64)))))))*(IF(G64="",IF($D$35="",0,$D$35),G64))))</f>
        <v/>
      </c>
      <c r="Q92" s="75" t="str">
        <f aca="false">IF(O92="","",O92+P92)</f>
        <v/>
      </c>
      <c r="R92" s="75" t="str">
        <f aca="false">IF(H54="","",IF(4&gt;IF(H57="",10,H57),"",H54*(1+IF(H55="",0,H55))^ROUNDDOWN((4-1)/IF(H56="",5,H56),0)))</f>
        <v/>
      </c>
      <c r="S92" s="75" t="str">
        <f aca="false">IF(R92="","",IF((IF(H64="",IF($D$35="",0,$D$35),H64))=0,0,MAX(0,2273073.97-(IF(H65&lt;&gt;"",H65,IF($D$37&lt;&gt;"",$D$37,IF((IF(H64="",IF($D$35="",0,$D$35),H64))=0,0,H54/(IF(H64="",IF($D$35="",0,$D$35),H64)))))))*(IF(H64="",IF($D$35="",0,$D$35),H64))))</f>
        <v/>
      </c>
      <c r="T92" s="75" t="str">
        <f aca="false">IF(R92="","",R92+S92)</f>
        <v/>
      </c>
    </row>
    <row r="93" customFormat="false" ht="15" hidden="false" customHeight="false" outlineLevel="0" collapsed="false">
      <c r="A93" s="74" t="n">
        <v>5</v>
      </c>
      <c r="B93" s="75" t="n">
        <v>2318535</v>
      </c>
      <c r="C93" s="76" t="n">
        <v>93011</v>
      </c>
      <c r="D93" s="76" t="n">
        <v>0</v>
      </c>
      <c r="E93" s="76" t="n">
        <v>93011</v>
      </c>
      <c r="F93" s="75" t="n">
        <f aca="false">IF(D54="","",IF(5&gt;IF(D57="",10,D57),"",D54*(1+IF(D55="",0,D55))^ROUNDDOWN((5-1)/IF(D56="",5,D56),0)))</f>
        <v>93011</v>
      </c>
      <c r="G93" s="75" t="n">
        <f aca="false">IF(F93="","",IF((IF(D64="",IF($D$35="",0,$D$35),D64))=0,0,MAX(0,2318535.45-(IF(D65&lt;&gt;"",D65,IF($D$37&lt;&gt;"",$D$37,IF((IF(D64="",IF($D$35="",0,$D$35),D64))=0,0,D54/(IF(D64="",IF($D$35="",0,$D$35),D64)))))))*(IF(D64="",IF($D$35="",0,$D$35),D64))))</f>
        <v>0</v>
      </c>
      <c r="H93" s="75" t="n">
        <f aca="false">IF(F93="","",F93+G93)</f>
        <v>93011</v>
      </c>
      <c r="I93" s="75" t="str">
        <f aca="false">IF(E54="","",IF(5&gt;IF(E57="",10,E57),"",E54*(1+IF(E55="",0,E55))^ROUNDDOWN((5-1)/IF(E56="",5,E56),0)))</f>
        <v/>
      </c>
      <c r="J93" s="75" t="str">
        <f aca="false">IF(I93="","",IF((IF(E64="",IF($D$35="",0,$D$35),E64))=0,0,MAX(0,2318535.45-(IF(E65&lt;&gt;"",E65,IF($D$37&lt;&gt;"",$D$37,IF((IF(E64="",IF($D$35="",0,$D$35),E64))=0,0,E54/(IF(E64="",IF($D$35="",0,$D$35),E64)))))))*(IF(E64="",IF($D$35="",0,$D$35),E64))))</f>
        <v/>
      </c>
      <c r="K93" s="75" t="str">
        <f aca="false">IF(I93="","",I93+J93)</f>
        <v/>
      </c>
      <c r="L93" s="75" t="str">
        <f aca="false">IF(F54="","",IF(5&gt;IF(F57="",10,F57),"",F54*(1+IF(F55="",0,F55))^ROUNDDOWN((5-1)/IF(F56="",5,F56),0)))</f>
        <v/>
      </c>
      <c r="M93" s="75" t="str">
        <f aca="false">IF(L93="","",IF((IF(F64="",IF($D$35="",0,$D$35),F64))=0,0,MAX(0,2318535.45-(IF(F65&lt;&gt;"",F65,IF($D$37&lt;&gt;"",$D$37,IF((IF(F64="",IF($D$35="",0,$D$35),F64))=0,0,F54/(IF(F64="",IF($D$35="",0,$D$35),F64)))))))*(IF(F64="",IF($D$35="",0,$D$35),F64))))</f>
        <v/>
      </c>
      <c r="N93" s="75" t="str">
        <f aca="false">IF(L93="","",L93+M93)</f>
        <v/>
      </c>
      <c r="O93" s="75" t="str">
        <f aca="false">IF(G54="","",IF(5&gt;IF(G57="",10,G57),"",G54*(1+IF(G55="",0,G55))^ROUNDDOWN((5-1)/IF(G56="",5,G56),0)))</f>
        <v/>
      </c>
      <c r="P93" s="75" t="str">
        <f aca="false">IF(O93="","",IF((IF(G64="",IF($D$35="",0,$D$35),G64))=0,0,MAX(0,2318535.45-(IF(G65&lt;&gt;"",G65,IF($D$37&lt;&gt;"",$D$37,IF((IF(G64="",IF($D$35="",0,$D$35),G64))=0,0,G54/(IF(G64="",IF($D$35="",0,$D$35),G64)))))))*(IF(G64="",IF($D$35="",0,$D$35),G64))))</f>
        <v/>
      </c>
      <c r="Q93" s="75" t="str">
        <f aca="false">IF(O93="","",O93+P93)</f>
        <v/>
      </c>
      <c r="R93" s="75" t="str">
        <f aca="false">IF(H54="","",IF(5&gt;IF(H57="",10,H57),"",H54*(1+IF(H55="",0,H55))^ROUNDDOWN((5-1)/IF(H56="",5,H56),0)))</f>
        <v/>
      </c>
      <c r="S93" s="75" t="str">
        <f aca="false">IF(R93="","",IF((IF(H64="",IF($D$35="",0,$D$35),H64))=0,0,MAX(0,2318535.45-(IF(H65&lt;&gt;"",H65,IF($D$37&lt;&gt;"",$D$37,IF((IF(H64="",IF($D$35="",0,$D$35),H64))=0,0,H54/(IF(H64="",IF($D$35="",0,$D$35),H64)))))))*(IF(H64="",IF($D$35="",0,$D$35),H64))))</f>
        <v/>
      </c>
      <c r="T93" s="75" t="str">
        <f aca="false">IF(R93="","",R93+S93)</f>
        <v/>
      </c>
    </row>
    <row r="94" customFormat="false" ht="15" hidden="false" customHeight="false" outlineLevel="0" collapsed="false">
      <c r="A94" s="74" t="n">
        <v>6</v>
      </c>
      <c r="B94" s="75" t="n">
        <v>2364906</v>
      </c>
      <c r="C94" s="76" t="n">
        <v>93011</v>
      </c>
      <c r="D94" s="76" t="n">
        <v>0</v>
      </c>
      <c r="E94" s="76" t="n">
        <v>93011</v>
      </c>
      <c r="F94" s="75" t="n">
        <f aca="false">IF(D54="","",IF(6&gt;IF(D57="",10,D57),"",D54*(1+IF(D55="",0,D55))^ROUNDDOWN((6-1)/IF(D56="",5,D56),0)))</f>
        <v>94871.22</v>
      </c>
      <c r="G94" s="75" t="n">
        <f aca="false">IF(F94="","",IF((IF(D64="",IF($D$35="",0,$D$35),D64))=0,0,MAX(0,2364906.16-(IF(D65&lt;&gt;"",D65,IF($D$37&lt;&gt;"",$D$37,IF((IF(D64="",IF($D$35="",0,$D$35),D64))=0,0,D54/(IF(D64="",IF($D$35="",0,$D$35),D64)))))))*(IF(D64="",IF($D$35="",0,$D$35),D64))))</f>
        <v>0</v>
      </c>
      <c r="H94" s="75" t="n">
        <f aca="false">IF(F94="","",F94+G94)</f>
        <v>94871.22</v>
      </c>
      <c r="I94" s="75" t="str">
        <f aca="false">IF(E54="","",IF(6&gt;IF(E57="",10,E57),"",E54*(1+IF(E55="",0,E55))^ROUNDDOWN((6-1)/IF(E56="",5,E56),0)))</f>
        <v/>
      </c>
      <c r="J94" s="75" t="str">
        <f aca="false">IF(I94="","",IF((IF(E64="",IF($D$35="",0,$D$35),E64))=0,0,MAX(0,2364906.16-(IF(E65&lt;&gt;"",E65,IF($D$37&lt;&gt;"",$D$37,IF((IF(E64="",IF($D$35="",0,$D$35),E64))=0,0,E54/(IF(E64="",IF($D$35="",0,$D$35),E64)))))))*(IF(E64="",IF($D$35="",0,$D$35),E64))))</f>
        <v/>
      </c>
      <c r="K94" s="75" t="str">
        <f aca="false">IF(I94="","",I94+J94)</f>
        <v/>
      </c>
      <c r="L94" s="75" t="str">
        <f aca="false">IF(F54="","",IF(6&gt;IF(F57="",10,F57),"",F54*(1+IF(F55="",0,F55))^ROUNDDOWN((6-1)/IF(F56="",5,F56),0)))</f>
        <v/>
      </c>
      <c r="M94" s="75" t="str">
        <f aca="false">IF(L94="","",IF((IF(F64="",IF($D$35="",0,$D$35),F64))=0,0,MAX(0,2364906.16-(IF(F65&lt;&gt;"",F65,IF($D$37&lt;&gt;"",$D$37,IF((IF(F64="",IF($D$35="",0,$D$35),F64))=0,0,F54/(IF(F64="",IF($D$35="",0,$D$35),F64)))))))*(IF(F64="",IF($D$35="",0,$D$35),F64))))</f>
        <v/>
      </c>
      <c r="N94" s="75" t="str">
        <f aca="false">IF(L94="","",L94+M94)</f>
        <v/>
      </c>
      <c r="O94" s="75" t="str">
        <f aca="false">IF(G54="","",IF(6&gt;IF(G57="",10,G57),"",G54*(1+IF(G55="",0,G55))^ROUNDDOWN((6-1)/IF(G56="",5,G56),0)))</f>
        <v/>
      </c>
      <c r="P94" s="75" t="str">
        <f aca="false">IF(O94="","",IF((IF(G64="",IF($D$35="",0,$D$35),G64))=0,0,MAX(0,2364906.16-(IF(G65&lt;&gt;"",G65,IF($D$37&lt;&gt;"",$D$37,IF((IF(G64="",IF($D$35="",0,$D$35),G64))=0,0,G54/(IF(G64="",IF($D$35="",0,$D$35),G64)))))))*(IF(G64="",IF($D$35="",0,$D$35),G64))))</f>
        <v/>
      </c>
      <c r="Q94" s="75" t="str">
        <f aca="false">IF(O94="","",O94+P94)</f>
        <v/>
      </c>
      <c r="R94" s="75" t="str">
        <f aca="false">IF(H54="","",IF(6&gt;IF(H57="",10,H57),"",H54*(1+IF(H55="",0,H55))^ROUNDDOWN((6-1)/IF(H56="",5,H56),0)))</f>
        <v/>
      </c>
      <c r="S94" s="75" t="str">
        <f aca="false">IF(R94="","",IF((IF(H64="",IF($D$35="",0,$D$35),H64))=0,0,MAX(0,2364906.16-(IF(H65&lt;&gt;"",H65,IF($D$37&lt;&gt;"",$D$37,IF((IF(H64="",IF($D$35="",0,$D$35),H64))=0,0,H54/(IF(H64="",IF($D$35="",0,$D$35),H64)))))))*(IF(H64="",IF($D$35="",0,$D$35),H64))))</f>
        <v/>
      </c>
      <c r="T94" s="75" t="str">
        <f aca="false">IF(R94="","",R94+S94)</f>
        <v/>
      </c>
    </row>
    <row r="95" customFormat="false" ht="15" hidden="false" customHeight="false" outlineLevel="0" collapsed="false">
      <c r="A95" s="74" t="n">
        <v>7</v>
      </c>
      <c r="B95" s="75" t="n">
        <v>2412204</v>
      </c>
      <c r="C95" s="76" t="n">
        <v>93011</v>
      </c>
      <c r="D95" s="76" t="n">
        <v>0</v>
      </c>
      <c r="E95" s="76" t="n">
        <v>93011</v>
      </c>
      <c r="F95" s="75" t="n">
        <f aca="false">IF(D54="","",IF(7&gt;IF(D57="",10,D57),"",D54*(1+IF(D55="",0,D55))^ROUNDDOWN((7-1)/IF(D56="",5,D56),0)))</f>
        <v>94871.22</v>
      </c>
      <c r="G95" s="75" t="n">
        <f aca="false">IF(F95="","",IF((IF(D64="",IF($D$35="",0,$D$35),D64))=0,0,MAX(0,2412204.28-(IF(D65&lt;&gt;"",D65,IF($D$37&lt;&gt;"",$D$37,IF((IF(D64="",IF($D$35="",0,$D$35),D64))=0,0,D54/(IF(D64="",IF($D$35="",0,$D$35),D64)))))))*(IF(D64="",IF($D$35="",0,$D$35),D64))))</f>
        <v>0</v>
      </c>
      <c r="H95" s="75" t="n">
        <f aca="false">IF(F95="","",F95+G95)</f>
        <v>94871.22</v>
      </c>
      <c r="I95" s="75" t="str">
        <f aca="false">IF(E54="","",IF(7&gt;IF(E57="",10,E57),"",E54*(1+IF(E55="",0,E55))^ROUNDDOWN((7-1)/IF(E56="",5,E56),0)))</f>
        <v/>
      </c>
      <c r="J95" s="75" t="str">
        <f aca="false">IF(I95="","",IF((IF(E64="",IF($D$35="",0,$D$35),E64))=0,0,MAX(0,2412204.28-(IF(E65&lt;&gt;"",E65,IF($D$37&lt;&gt;"",$D$37,IF((IF(E64="",IF($D$35="",0,$D$35),E64))=0,0,E54/(IF(E64="",IF($D$35="",0,$D$35),E64)))))))*(IF(E64="",IF($D$35="",0,$D$35),E64))))</f>
        <v/>
      </c>
      <c r="K95" s="75" t="str">
        <f aca="false">IF(I95="","",I95+J95)</f>
        <v/>
      </c>
      <c r="L95" s="75" t="str">
        <f aca="false">IF(F54="","",IF(7&gt;IF(F57="",10,F57),"",F54*(1+IF(F55="",0,F55))^ROUNDDOWN((7-1)/IF(F56="",5,F56),0)))</f>
        <v/>
      </c>
      <c r="M95" s="75" t="str">
        <f aca="false">IF(L95="","",IF((IF(F64="",IF($D$35="",0,$D$35),F64))=0,0,MAX(0,2412204.28-(IF(F65&lt;&gt;"",F65,IF($D$37&lt;&gt;"",$D$37,IF((IF(F64="",IF($D$35="",0,$D$35),F64))=0,0,F54/(IF(F64="",IF($D$35="",0,$D$35),F64)))))))*(IF(F64="",IF($D$35="",0,$D$35),F64))))</f>
        <v/>
      </c>
      <c r="N95" s="75" t="str">
        <f aca="false">IF(L95="","",L95+M95)</f>
        <v/>
      </c>
      <c r="O95" s="75" t="str">
        <f aca="false">IF(G54="","",IF(7&gt;IF(G57="",10,G57),"",G54*(1+IF(G55="",0,G55))^ROUNDDOWN((7-1)/IF(G56="",5,G56),0)))</f>
        <v/>
      </c>
      <c r="P95" s="75" t="str">
        <f aca="false">IF(O95="","",IF((IF(G64="",IF($D$35="",0,$D$35),G64))=0,0,MAX(0,2412204.28-(IF(G65&lt;&gt;"",G65,IF($D$37&lt;&gt;"",$D$37,IF((IF(G64="",IF($D$35="",0,$D$35),G64))=0,0,G54/(IF(G64="",IF($D$35="",0,$D$35),G64)))))))*(IF(G64="",IF($D$35="",0,$D$35),G64))))</f>
        <v/>
      </c>
      <c r="Q95" s="75" t="str">
        <f aca="false">IF(O95="","",O95+P95)</f>
        <v/>
      </c>
      <c r="R95" s="75" t="str">
        <f aca="false">IF(H54="","",IF(7&gt;IF(H57="",10,H57),"",H54*(1+IF(H55="",0,H55))^ROUNDDOWN((7-1)/IF(H56="",5,H56),0)))</f>
        <v/>
      </c>
      <c r="S95" s="75" t="str">
        <f aca="false">IF(R95="","",IF((IF(H64="",IF($D$35="",0,$D$35),H64))=0,0,MAX(0,2412204.28-(IF(H65&lt;&gt;"",H65,IF($D$37&lt;&gt;"",$D$37,IF((IF(H64="",IF($D$35="",0,$D$35),H64))=0,0,H54/(IF(H64="",IF($D$35="",0,$D$35),H64)))))))*(IF(H64="",IF($D$35="",0,$D$35),H64))))</f>
        <v/>
      </c>
      <c r="T95" s="75" t="str">
        <f aca="false">IF(R95="","",R95+S95)</f>
        <v/>
      </c>
    </row>
    <row r="96" customFormat="false" ht="15" hidden="false" customHeight="false" outlineLevel="0" collapsed="false">
      <c r="A96" s="74" t="n">
        <v>8</v>
      </c>
      <c r="B96" s="75" t="n">
        <v>2460448</v>
      </c>
      <c r="C96" s="76" t="n">
        <v>93011</v>
      </c>
      <c r="D96" s="76" t="n">
        <v>0</v>
      </c>
      <c r="E96" s="76" t="n">
        <v>93011</v>
      </c>
      <c r="F96" s="75" t="n">
        <f aca="false">IF(D54="","",IF(8&gt;IF(D57="",10,D57),"",D54*(1+IF(D55="",0,D55))^ROUNDDOWN((8-1)/IF(D56="",5,D56),0)))</f>
        <v>94871.22</v>
      </c>
      <c r="G96" s="75" t="n">
        <f aca="false">IF(F96="","",IF((IF(D64="",IF($D$35="",0,$D$35),D64))=0,0,MAX(0,2460448.37-(IF(D65&lt;&gt;"",D65,IF($D$37&lt;&gt;"",$D$37,IF((IF(D64="",IF($D$35="",0,$D$35),D64))=0,0,D54/(IF(D64="",IF($D$35="",0,$D$35),D64)))))))*(IF(D64="",IF($D$35="",0,$D$35),D64))))</f>
        <v>0</v>
      </c>
      <c r="H96" s="75" t="n">
        <f aca="false">IF(F96="","",F96+G96)</f>
        <v>94871.22</v>
      </c>
      <c r="I96" s="75" t="str">
        <f aca="false">IF(E54="","",IF(8&gt;IF(E57="",10,E57),"",E54*(1+IF(E55="",0,E55))^ROUNDDOWN((8-1)/IF(E56="",5,E56),0)))</f>
        <v/>
      </c>
      <c r="J96" s="75" t="str">
        <f aca="false">IF(I96="","",IF((IF(E64="",IF($D$35="",0,$D$35),E64))=0,0,MAX(0,2460448.37-(IF(E65&lt;&gt;"",E65,IF($D$37&lt;&gt;"",$D$37,IF((IF(E64="",IF($D$35="",0,$D$35),E64))=0,0,E54/(IF(E64="",IF($D$35="",0,$D$35),E64)))))))*(IF(E64="",IF($D$35="",0,$D$35),E64))))</f>
        <v/>
      </c>
      <c r="K96" s="75" t="str">
        <f aca="false">IF(I96="","",I96+J96)</f>
        <v/>
      </c>
      <c r="L96" s="75" t="str">
        <f aca="false">IF(F54="","",IF(8&gt;IF(F57="",10,F57),"",F54*(1+IF(F55="",0,F55))^ROUNDDOWN((8-1)/IF(F56="",5,F56),0)))</f>
        <v/>
      </c>
      <c r="M96" s="75" t="str">
        <f aca="false">IF(L96="","",IF((IF(F64="",IF($D$35="",0,$D$35),F64))=0,0,MAX(0,2460448.37-(IF(F65&lt;&gt;"",F65,IF($D$37&lt;&gt;"",$D$37,IF((IF(F64="",IF($D$35="",0,$D$35),F64))=0,0,F54/(IF(F64="",IF($D$35="",0,$D$35),F64)))))))*(IF(F64="",IF($D$35="",0,$D$35),F64))))</f>
        <v/>
      </c>
      <c r="N96" s="75" t="str">
        <f aca="false">IF(L96="","",L96+M96)</f>
        <v/>
      </c>
      <c r="O96" s="75" t="str">
        <f aca="false">IF(G54="","",IF(8&gt;IF(G57="",10,G57),"",G54*(1+IF(G55="",0,G55))^ROUNDDOWN((8-1)/IF(G56="",5,G56),0)))</f>
        <v/>
      </c>
      <c r="P96" s="75" t="str">
        <f aca="false">IF(O96="","",IF((IF(G64="",IF($D$35="",0,$D$35),G64))=0,0,MAX(0,2460448.37-(IF(G65&lt;&gt;"",G65,IF($D$37&lt;&gt;"",$D$37,IF((IF(G64="",IF($D$35="",0,$D$35),G64))=0,0,G54/(IF(G64="",IF($D$35="",0,$D$35),G64)))))))*(IF(G64="",IF($D$35="",0,$D$35),G64))))</f>
        <v/>
      </c>
      <c r="Q96" s="75" t="str">
        <f aca="false">IF(O96="","",O96+P96)</f>
        <v/>
      </c>
      <c r="R96" s="75" t="str">
        <f aca="false">IF(H54="","",IF(8&gt;IF(H57="",10,H57),"",H54*(1+IF(H55="",0,H55))^ROUNDDOWN((8-1)/IF(H56="",5,H56),0)))</f>
        <v/>
      </c>
      <c r="S96" s="75" t="str">
        <f aca="false">IF(R96="","",IF((IF(H64="",IF($D$35="",0,$D$35),H64))=0,0,MAX(0,2460448.37-(IF(H65&lt;&gt;"",H65,IF($D$37&lt;&gt;"",$D$37,IF((IF(H64="",IF($D$35="",0,$D$35),H64))=0,0,H54/(IF(H64="",IF($D$35="",0,$D$35),H64)))))))*(IF(H64="",IF($D$35="",0,$D$35),H64))))</f>
        <v/>
      </c>
      <c r="T96" s="75" t="str">
        <f aca="false">IF(R96="","",R96+S96)</f>
        <v/>
      </c>
    </row>
    <row r="97" customFormat="false" ht="15" hidden="false" customHeight="false" outlineLevel="0" collapsed="false">
      <c r="A97" s="74" t="n">
        <v>9</v>
      </c>
      <c r="B97" s="75" t="n">
        <v>2509657</v>
      </c>
      <c r="C97" s="76" t="n">
        <v>93011</v>
      </c>
      <c r="D97" s="76" t="n">
        <v>0</v>
      </c>
      <c r="E97" s="76" t="n">
        <v>93011</v>
      </c>
      <c r="F97" s="75" t="n">
        <f aca="false">IF(D54="","",IF(9&gt;IF(D57="",10,D57),"",D54*(1+IF(D55="",0,D55))^ROUNDDOWN((9-1)/IF(D56="",5,D56),0)))</f>
        <v>94871.22</v>
      </c>
      <c r="G97" s="75" t="n">
        <f aca="false">IF(F97="","",IF((IF(D64="",IF($D$35="",0,$D$35),D64))=0,0,MAX(0,2509657.33-(IF(D65&lt;&gt;"",D65,IF($D$37&lt;&gt;"",$D$37,IF((IF(D64="",IF($D$35="",0,$D$35),D64))=0,0,D54/(IF(D64="",IF($D$35="",0,$D$35),D64)))))))*(IF(D64="",IF($D$35="",0,$D$35),D64))))</f>
        <v>0</v>
      </c>
      <c r="H97" s="75" t="n">
        <f aca="false">IF(F97="","",F97+G97)</f>
        <v>94871.22</v>
      </c>
      <c r="I97" s="75" t="str">
        <f aca="false">IF(E54="","",IF(9&gt;IF(E57="",10,E57),"",E54*(1+IF(E55="",0,E55))^ROUNDDOWN((9-1)/IF(E56="",5,E56),0)))</f>
        <v/>
      </c>
      <c r="J97" s="75" t="str">
        <f aca="false">IF(I97="","",IF((IF(E64="",IF($D$35="",0,$D$35),E64))=0,0,MAX(0,2509657.33-(IF(E65&lt;&gt;"",E65,IF($D$37&lt;&gt;"",$D$37,IF((IF(E64="",IF($D$35="",0,$D$35),E64))=0,0,E54/(IF(E64="",IF($D$35="",0,$D$35),E64)))))))*(IF(E64="",IF($D$35="",0,$D$35),E64))))</f>
        <v/>
      </c>
      <c r="K97" s="75" t="str">
        <f aca="false">IF(I97="","",I97+J97)</f>
        <v/>
      </c>
      <c r="L97" s="75" t="str">
        <f aca="false">IF(F54="","",IF(9&gt;IF(F57="",10,F57),"",F54*(1+IF(F55="",0,F55))^ROUNDDOWN((9-1)/IF(F56="",5,F56),0)))</f>
        <v/>
      </c>
      <c r="M97" s="75" t="str">
        <f aca="false">IF(L97="","",IF((IF(F64="",IF($D$35="",0,$D$35),F64))=0,0,MAX(0,2509657.33-(IF(F65&lt;&gt;"",F65,IF($D$37&lt;&gt;"",$D$37,IF((IF(F64="",IF($D$35="",0,$D$35),F64))=0,0,F54/(IF(F64="",IF($D$35="",0,$D$35),F64)))))))*(IF(F64="",IF($D$35="",0,$D$35),F64))))</f>
        <v/>
      </c>
      <c r="N97" s="75" t="str">
        <f aca="false">IF(L97="","",L97+M97)</f>
        <v/>
      </c>
      <c r="O97" s="75" t="str">
        <f aca="false">IF(G54="","",IF(9&gt;IF(G57="",10,G57),"",G54*(1+IF(G55="",0,G55))^ROUNDDOWN((9-1)/IF(G56="",5,G56),0)))</f>
        <v/>
      </c>
      <c r="P97" s="75" t="str">
        <f aca="false">IF(O97="","",IF((IF(G64="",IF($D$35="",0,$D$35),G64))=0,0,MAX(0,2509657.33-(IF(G65&lt;&gt;"",G65,IF($D$37&lt;&gt;"",$D$37,IF((IF(G64="",IF($D$35="",0,$D$35),G64))=0,0,G54/(IF(G64="",IF($D$35="",0,$D$35),G64)))))))*(IF(G64="",IF($D$35="",0,$D$35),G64))))</f>
        <v/>
      </c>
      <c r="Q97" s="75" t="str">
        <f aca="false">IF(O97="","",O97+P97)</f>
        <v/>
      </c>
      <c r="R97" s="75" t="str">
        <f aca="false">IF(H54="","",IF(9&gt;IF(H57="",10,H57),"",H54*(1+IF(H55="",0,H55))^ROUNDDOWN((9-1)/IF(H56="",5,H56),0)))</f>
        <v/>
      </c>
      <c r="S97" s="75" t="str">
        <f aca="false">IF(R97="","",IF((IF(H64="",IF($D$35="",0,$D$35),H64))=0,0,MAX(0,2509657.33-(IF(H65&lt;&gt;"",H65,IF($D$37&lt;&gt;"",$D$37,IF((IF(H64="",IF($D$35="",0,$D$35),H64))=0,0,H54/(IF(H64="",IF($D$35="",0,$D$35),H64)))))))*(IF(H64="",IF($D$35="",0,$D$35),H64))))</f>
        <v/>
      </c>
      <c r="T97" s="75" t="str">
        <f aca="false">IF(R97="","",R97+S97)</f>
        <v/>
      </c>
    </row>
    <row r="98" customFormat="false" ht="15" hidden="false" customHeight="false" outlineLevel="0" collapsed="false">
      <c r="A98" s="74" t="n">
        <v>10</v>
      </c>
      <c r="B98" s="75" t="n">
        <v>2559850</v>
      </c>
      <c r="C98" s="76" t="n">
        <v>93011</v>
      </c>
      <c r="D98" s="76" t="n">
        <v>0</v>
      </c>
      <c r="E98" s="76" t="n">
        <v>93011</v>
      </c>
      <c r="F98" s="75" t="n">
        <f aca="false">IF(D54="","",IF(10&gt;IF(D57="",10,D57),"",D54*(1+IF(D55="",0,D55))^ROUNDDOWN((10-1)/IF(D56="",5,D56),0)))</f>
        <v>94871.22</v>
      </c>
      <c r="G98" s="75" t="n">
        <f aca="false">IF(F98="","",IF((IF(D64="",IF($D$35="",0,$D$35),D64))=0,0,MAX(0,2559850.48-(IF(D65&lt;&gt;"",D65,IF($D$37&lt;&gt;"",$D$37,IF((IF(D64="",IF($D$35="",0,$D$35),D64))=0,0,D54/(IF(D64="",IF($D$35="",0,$D$35),D64)))))))*(IF(D64="",IF($D$35="",0,$D$35),D64))))</f>
        <v>0</v>
      </c>
      <c r="H98" s="75" t="n">
        <f aca="false">IF(F98="","",F98+G98)</f>
        <v>94871.22</v>
      </c>
      <c r="I98" s="75" t="str">
        <f aca="false">IF(E54="","",IF(10&gt;IF(E57="",10,E57),"",E54*(1+IF(E55="",0,E55))^ROUNDDOWN((10-1)/IF(E56="",5,E56),0)))</f>
        <v/>
      </c>
      <c r="J98" s="75" t="str">
        <f aca="false">IF(I98="","",IF((IF(E64="",IF($D$35="",0,$D$35),E64))=0,0,MAX(0,2559850.48-(IF(E65&lt;&gt;"",E65,IF($D$37&lt;&gt;"",$D$37,IF((IF(E64="",IF($D$35="",0,$D$35),E64))=0,0,E54/(IF(E64="",IF($D$35="",0,$D$35),E64)))))))*(IF(E64="",IF($D$35="",0,$D$35),E64))))</f>
        <v/>
      </c>
      <c r="K98" s="75" t="str">
        <f aca="false">IF(I98="","",I98+J98)</f>
        <v/>
      </c>
      <c r="L98" s="75" t="str">
        <f aca="false">IF(F54="","",IF(10&gt;IF(F57="",10,F57),"",F54*(1+IF(F55="",0,F55))^ROUNDDOWN((10-1)/IF(F56="",5,F56),0)))</f>
        <v/>
      </c>
      <c r="M98" s="75" t="str">
        <f aca="false">IF(L98="","",IF((IF(F64="",IF($D$35="",0,$D$35),F64))=0,0,MAX(0,2559850.48-(IF(F65&lt;&gt;"",F65,IF($D$37&lt;&gt;"",$D$37,IF((IF(F64="",IF($D$35="",0,$D$35),F64))=0,0,F54/(IF(F64="",IF($D$35="",0,$D$35),F64)))))))*(IF(F64="",IF($D$35="",0,$D$35),F64))))</f>
        <v/>
      </c>
      <c r="N98" s="75" t="str">
        <f aca="false">IF(L98="","",L98+M98)</f>
        <v/>
      </c>
      <c r="O98" s="75" t="str">
        <f aca="false">IF(G54="","",IF(10&gt;IF(G57="",10,G57),"",G54*(1+IF(G55="",0,G55))^ROUNDDOWN((10-1)/IF(G56="",5,G56),0)))</f>
        <v/>
      </c>
      <c r="P98" s="75" t="str">
        <f aca="false">IF(O98="","",IF((IF(G64="",IF($D$35="",0,$D$35),G64))=0,0,MAX(0,2559850.48-(IF(G65&lt;&gt;"",G65,IF($D$37&lt;&gt;"",$D$37,IF((IF(G64="",IF($D$35="",0,$D$35),G64))=0,0,G54/(IF(G64="",IF($D$35="",0,$D$35),G64)))))))*(IF(G64="",IF($D$35="",0,$D$35),G64))))</f>
        <v/>
      </c>
      <c r="Q98" s="75" t="str">
        <f aca="false">IF(O98="","",O98+P98)</f>
        <v/>
      </c>
      <c r="R98" s="75" t="str">
        <f aca="false">IF(H54="","",IF(10&gt;IF(H57="",10,H57),"",H54*(1+IF(H55="",0,H55))^ROUNDDOWN((10-1)/IF(H56="",5,H56),0)))</f>
        <v/>
      </c>
      <c r="S98" s="75" t="str">
        <f aca="false">IF(R98="","",IF((IF(H64="",IF($D$35="",0,$D$35),H64))=0,0,MAX(0,2559850.48-(IF(H65&lt;&gt;"",H65,IF($D$37&lt;&gt;"",$D$37,IF((IF(H64="",IF($D$35="",0,$D$35),H64))=0,0,H54/(IF(H64="",IF($D$35="",0,$D$35),H64)))))))*(IF(H64="",IF($D$35="",0,$D$35),H64))))</f>
        <v/>
      </c>
      <c r="T98" s="75" t="str">
        <f aca="false">IF(R98="","",R98+S98)</f>
        <v/>
      </c>
    </row>
    <row r="99" customFormat="false" ht="15" hidden="false" customHeight="false" outlineLevel="0" collapsed="false">
      <c r="A99" s="74" t="n">
        <v>11</v>
      </c>
      <c r="B99" s="75" t="n">
        <v>2611047</v>
      </c>
      <c r="C99" s="76" t="n">
        <v>93011</v>
      </c>
      <c r="D99" s="76" t="n">
        <v>0</v>
      </c>
      <c r="E99" s="76" t="n">
        <v>93011</v>
      </c>
      <c r="F99" s="75" t="n">
        <f aca="false">IF(D54="","",IF(11&gt;IF(D57="",10,D57),"",D54*(1+IF(D55="",0,D55))^ROUNDDOWN((11-1)/IF(D56="",5,D56),0)))</f>
        <v>96768.6444</v>
      </c>
      <c r="G99" s="75" t="n">
        <f aca="false">IF(F99="","",IF((IF(D64="",IF($D$35="",0,$D$35),D64))=0,0,MAX(0,2611047.49-(IF(D65&lt;&gt;"",D65,IF($D$37&lt;&gt;"",$D$37,IF((IF(D64="",IF($D$35="",0,$D$35),D64))=0,0,D54/(IF(D64="",IF($D$35="",0,$D$35),D64)))))))*(IF(D64="",IF($D$35="",0,$D$35),D64))))</f>
        <v>0</v>
      </c>
      <c r="H99" s="75" t="n">
        <f aca="false">IF(F99="","",F99+G99)</f>
        <v>96768.6444</v>
      </c>
      <c r="I99" s="75" t="str">
        <f aca="false">IF(E54="","",IF(11&gt;IF(E57="",10,E57),"",E54*(1+IF(E55="",0,E55))^ROUNDDOWN((11-1)/IF(E56="",5,E56),0)))</f>
        <v/>
      </c>
      <c r="J99" s="75" t="str">
        <f aca="false">IF(I99="","",IF((IF(E64="",IF($D$35="",0,$D$35),E64))=0,0,MAX(0,2611047.49-(IF(E65&lt;&gt;"",E65,IF($D$37&lt;&gt;"",$D$37,IF((IF(E64="",IF($D$35="",0,$D$35),E64))=0,0,E54/(IF(E64="",IF($D$35="",0,$D$35),E64)))))))*(IF(E64="",IF($D$35="",0,$D$35),E64))))</f>
        <v/>
      </c>
      <c r="K99" s="75" t="str">
        <f aca="false">IF(I99="","",I99+J99)</f>
        <v/>
      </c>
      <c r="L99" s="75" t="str">
        <f aca="false">IF(F54="","",IF(11&gt;IF(F57="",10,F57),"",F54*(1+IF(F55="",0,F55))^ROUNDDOWN((11-1)/IF(F56="",5,F56),0)))</f>
        <v/>
      </c>
      <c r="M99" s="75" t="str">
        <f aca="false">IF(L99="","",IF((IF(F64="",IF($D$35="",0,$D$35),F64))=0,0,MAX(0,2611047.49-(IF(F65&lt;&gt;"",F65,IF($D$37&lt;&gt;"",$D$37,IF((IF(F64="",IF($D$35="",0,$D$35),F64))=0,0,F54/(IF(F64="",IF($D$35="",0,$D$35),F64)))))))*(IF(F64="",IF($D$35="",0,$D$35),F64))))</f>
        <v/>
      </c>
      <c r="N99" s="75" t="str">
        <f aca="false">IF(L99="","",L99+M99)</f>
        <v/>
      </c>
      <c r="O99" s="75" t="str">
        <f aca="false">IF(G54="","",IF(11&gt;IF(G57="",10,G57),"",G54*(1+IF(G55="",0,G55))^ROUNDDOWN((11-1)/IF(G56="",5,G56),0)))</f>
        <v/>
      </c>
      <c r="P99" s="75" t="str">
        <f aca="false">IF(O99="","",IF((IF(G64="",IF($D$35="",0,$D$35),G64))=0,0,MAX(0,2611047.49-(IF(G65&lt;&gt;"",G65,IF($D$37&lt;&gt;"",$D$37,IF((IF(G64="",IF($D$35="",0,$D$35),G64))=0,0,G54/(IF(G64="",IF($D$35="",0,$D$35),G64)))))))*(IF(G64="",IF($D$35="",0,$D$35),G64))))</f>
        <v/>
      </c>
      <c r="Q99" s="75" t="str">
        <f aca="false">IF(O99="","",O99+P99)</f>
        <v/>
      </c>
      <c r="R99" s="75" t="str">
        <f aca="false">IF(H54="","",IF(11&gt;IF(H57="",10,H57),"",H54*(1+IF(H55="",0,H55))^ROUNDDOWN((11-1)/IF(H56="",5,H56),0)))</f>
        <v/>
      </c>
      <c r="S99" s="75" t="str">
        <f aca="false">IF(R99="","",IF((IF(H64="",IF($D$35="",0,$D$35),H64))=0,0,MAX(0,2611047.49-(IF(H65&lt;&gt;"",H65,IF($D$37&lt;&gt;"",$D$37,IF((IF(H64="",IF($D$35="",0,$D$35),H64))=0,0,H54/(IF(H64="",IF($D$35="",0,$D$35),H64)))))))*(IF(H64="",IF($D$35="",0,$D$35),H64))))</f>
        <v/>
      </c>
      <c r="T99" s="75" t="str">
        <f aca="false">IF(R99="","",R99+S99)</f>
        <v/>
      </c>
    </row>
    <row r="100" customFormat="false" ht="15" hidden="false" customHeight="false" outlineLevel="0" collapsed="false">
      <c r="A100" s="74" t="n">
        <v>12</v>
      </c>
      <c r="B100" s="75" t="n">
        <v>2663268</v>
      </c>
      <c r="C100" s="76" t="n">
        <v>93011</v>
      </c>
      <c r="D100" s="76" t="n">
        <v>0</v>
      </c>
      <c r="E100" s="76" t="n">
        <v>93011</v>
      </c>
      <c r="F100" s="75" t="n">
        <f aca="false">IF(D54="","",IF(12&gt;IF(D57="",10,D57),"",D54*(1+IF(D55="",0,D55))^ROUNDDOWN((12-1)/IF(D56="",5,D56),0)))</f>
        <v>96768.6444</v>
      </c>
      <c r="G100" s="75" t="n">
        <f aca="false">IF(F100="","",IF((IF(D64="",IF($D$35="",0,$D$35),D64))=0,0,MAX(0,2663268.44-(IF(D65&lt;&gt;"",D65,IF($D$37&lt;&gt;"",$D$37,IF((IF(D64="",IF($D$35="",0,$D$35),D64))=0,0,D54/(IF(D64="",IF($D$35="",0,$D$35),D64)))))))*(IF(D64="",IF($D$35="",0,$D$35),D64))))</f>
        <v>0</v>
      </c>
      <c r="H100" s="75" t="n">
        <f aca="false">IF(F100="","",F100+G100)</f>
        <v>96768.6444</v>
      </c>
      <c r="I100" s="75" t="str">
        <f aca="false">IF(E54="","",IF(12&gt;IF(E57="",10,E57),"",E54*(1+IF(E55="",0,E55))^ROUNDDOWN((12-1)/IF(E56="",5,E56),0)))</f>
        <v/>
      </c>
      <c r="J100" s="75" t="str">
        <f aca="false">IF(I100="","",IF((IF(E64="",IF($D$35="",0,$D$35),E64))=0,0,MAX(0,2663268.44-(IF(E65&lt;&gt;"",E65,IF($D$37&lt;&gt;"",$D$37,IF((IF(E64="",IF($D$35="",0,$D$35),E64))=0,0,E54/(IF(E64="",IF($D$35="",0,$D$35),E64)))))))*(IF(E64="",IF($D$35="",0,$D$35),E64))))</f>
        <v/>
      </c>
      <c r="K100" s="75" t="str">
        <f aca="false">IF(I100="","",I100+J100)</f>
        <v/>
      </c>
      <c r="L100" s="75" t="str">
        <f aca="false">IF(F54="","",IF(12&gt;IF(F57="",10,F57),"",F54*(1+IF(F55="",0,F55))^ROUNDDOWN((12-1)/IF(F56="",5,F56),0)))</f>
        <v/>
      </c>
      <c r="M100" s="75" t="str">
        <f aca="false">IF(L100="","",IF((IF(F64="",IF($D$35="",0,$D$35),F64))=0,0,MAX(0,2663268.44-(IF(F65&lt;&gt;"",F65,IF($D$37&lt;&gt;"",$D$37,IF((IF(F64="",IF($D$35="",0,$D$35),F64))=0,0,F54/(IF(F64="",IF($D$35="",0,$D$35),F64)))))))*(IF(F64="",IF($D$35="",0,$D$35),F64))))</f>
        <v/>
      </c>
      <c r="N100" s="75" t="str">
        <f aca="false">IF(L100="","",L100+M100)</f>
        <v/>
      </c>
      <c r="O100" s="75" t="str">
        <f aca="false">IF(G54="","",IF(12&gt;IF(G57="",10,G57),"",G54*(1+IF(G55="",0,G55))^ROUNDDOWN((12-1)/IF(G56="",5,G56),0)))</f>
        <v/>
      </c>
      <c r="P100" s="75" t="str">
        <f aca="false">IF(O100="","",IF((IF(G64="",IF($D$35="",0,$D$35),G64))=0,0,MAX(0,2663268.44-(IF(G65&lt;&gt;"",G65,IF($D$37&lt;&gt;"",$D$37,IF((IF(G64="",IF($D$35="",0,$D$35),G64))=0,0,G54/(IF(G64="",IF($D$35="",0,$D$35),G64)))))))*(IF(G64="",IF($D$35="",0,$D$35),G64))))</f>
        <v/>
      </c>
      <c r="Q100" s="75" t="str">
        <f aca="false">IF(O100="","",O100+P100)</f>
        <v/>
      </c>
      <c r="R100" s="75" t="str">
        <f aca="false">IF(H54="","",IF(12&gt;IF(H57="",10,H57),"",H54*(1+IF(H55="",0,H55))^ROUNDDOWN((12-1)/IF(H56="",5,H56),0)))</f>
        <v/>
      </c>
      <c r="S100" s="75" t="str">
        <f aca="false">IF(R100="","",IF((IF(H64="",IF($D$35="",0,$D$35),H64))=0,0,MAX(0,2663268.44-(IF(H65&lt;&gt;"",H65,IF($D$37&lt;&gt;"",$D$37,IF((IF(H64="",IF($D$35="",0,$D$35),H64))=0,0,H54/(IF(H64="",IF($D$35="",0,$D$35),H64)))))))*(IF(H64="",IF($D$35="",0,$D$35),H64))))</f>
        <v/>
      </c>
      <c r="T100" s="75" t="str">
        <f aca="false">IF(R100="","",R100+S100)</f>
        <v/>
      </c>
    </row>
    <row r="101" customFormat="false" ht="15" hidden="false" customHeight="false" outlineLevel="0" collapsed="false">
      <c r="A101" s="74" t="n">
        <v>13</v>
      </c>
      <c r="B101" s="75" t="n">
        <v>2716534</v>
      </c>
      <c r="C101" s="76" t="n">
        <v>93011</v>
      </c>
      <c r="D101" s="76" t="n">
        <v>0</v>
      </c>
      <c r="E101" s="76" t="n">
        <v>93011</v>
      </c>
      <c r="F101" s="75" t="n">
        <f aca="false">IF(D54="","",IF(13&gt;IF(D57="",10,D57),"",D54*(1+IF(D55="",0,D55))^ROUNDDOWN((13-1)/IF(D56="",5,D56),0)))</f>
        <v>96768.6444</v>
      </c>
      <c r="G101" s="75" t="n">
        <f aca="false">IF(F101="","",IF((IF(D64="",IF($D$35="",0,$D$35),D64))=0,0,MAX(0,2716533.81-(IF(D65&lt;&gt;"",D65,IF($D$37&lt;&gt;"",$D$37,IF((IF(D64="",IF($D$35="",0,$D$35),D64))=0,0,D54/(IF(D64="",IF($D$35="",0,$D$35),D64)))))))*(IF(D64="",IF($D$35="",0,$D$35),D64))))</f>
        <v>0</v>
      </c>
      <c r="H101" s="75" t="n">
        <f aca="false">IF(F101="","",F101+G101)</f>
        <v>96768.6444</v>
      </c>
      <c r="I101" s="75" t="str">
        <f aca="false">IF(E54="","",IF(13&gt;IF(E57="",10,E57),"",E54*(1+IF(E55="",0,E55))^ROUNDDOWN((13-1)/IF(E56="",5,E56),0)))</f>
        <v/>
      </c>
      <c r="J101" s="75" t="str">
        <f aca="false">IF(I101="","",IF((IF(E64="",IF($D$35="",0,$D$35),E64))=0,0,MAX(0,2716533.81-(IF(E65&lt;&gt;"",E65,IF($D$37&lt;&gt;"",$D$37,IF((IF(E64="",IF($D$35="",0,$D$35),E64))=0,0,E54/(IF(E64="",IF($D$35="",0,$D$35),E64)))))))*(IF(E64="",IF($D$35="",0,$D$35),E64))))</f>
        <v/>
      </c>
      <c r="K101" s="75" t="str">
        <f aca="false">IF(I101="","",I101+J101)</f>
        <v/>
      </c>
      <c r="L101" s="75" t="str">
        <f aca="false">IF(F54="","",IF(13&gt;IF(F57="",10,F57),"",F54*(1+IF(F55="",0,F55))^ROUNDDOWN((13-1)/IF(F56="",5,F56),0)))</f>
        <v/>
      </c>
      <c r="M101" s="75" t="str">
        <f aca="false">IF(L101="","",IF((IF(F64="",IF($D$35="",0,$D$35),F64))=0,0,MAX(0,2716533.81-(IF(F65&lt;&gt;"",F65,IF($D$37&lt;&gt;"",$D$37,IF((IF(F64="",IF($D$35="",0,$D$35),F64))=0,0,F54/(IF(F64="",IF($D$35="",0,$D$35),F64)))))))*(IF(F64="",IF($D$35="",0,$D$35),F64))))</f>
        <v/>
      </c>
      <c r="N101" s="75" t="str">
        <f aca="false">IF(L101="","",L101+M101)</f>
        <v/>
      </c>
      <c r="O101" s="75" t="str">
        <f aca="false">IF(G54="","",IF(13&gt;IF(G57="",10,G57),"",G54*(1+IF(G55="",0,G55))^ROUNDDOWN((13-1)/IF(G56="",5,G56),0)))</f>
        <v/>
      </c>
      <c r="P101" s="75" t="str">
        <f aca="false">IF(O101="","",IF((IF(G64="",IF($D$35="",0,$D$35),G64))=0,0,MAX(0,2716533.81-(IF(G65&lt;&gt;"",G65,IF($D$37&lt;&gt;"",$D$37,IF((IF(G64="",IF($D$35="",0,$D$35),G64))=0,0,G54/(IF(G64="",IF($D$35="",0,$D$35),G64)))))))*(IF(G64="",IF($D$35="",0,$D$35),G64))))</f>
        <v/>
      </c>
      <c r="Q101" s="75" t="str">
        <f aca="false">IF(O101="","",O101+P101)</f>
        <v/>
      </c>
      <c r="R101" s="75" t="str">
        <f aca="false">IF(H54="","",IF(13&gt;IF(H57="",10,H57),"",H54*(1+IF(H55="",0,H55))^ROUNDDOWN((13-1)/IF(H56="",5,H56),0)))</f>
        <v/>
      </c>
      <c r="S101" s="75" t="str">
        <f aca="false">IF(R101="","",IF((IF(H64="",IF($D$35="",0,$D$35),H64))=0,0,MAX(0,2716533.81-(IF(H65&lt;&gt;"",H65,IF($D$37&lt;&gt;"",$D$37,IF((IF(H64="",IF($D$35="",0,$D$35),H64))=0,0,H54/(IF(H64="",IF($D$35="",0,$D$35),H64)))))))*(IF(H64="",IF($D$35="",0,$D$35),H64))))</f>
        <v/>
      </c>
      <c r="T101" s="75" t="str">
        <f aca="false">IF(R101="","",R101+S101)</f>
        <v/>
      </c>
    </row>
    <row r="102" customFormat="false" ht="15" hidden="false" customHeight="false" outlineLevel="0" collapsed="false">
      <c r="A102" s="74" t="n">
        <v>14</v>
      </c>
      <c r="B102" s="75" t="n">
        <v>2770864</v>
      </c>
      <c r="C102" s="76" t="n">
        <v>93011</v>
      </c>
      <c r="D102" s="76" t="n">
        <v>0</v>
      </c>
      <c r="E102" s="76" t="n">
        <v>93011</v>
      </c>
      <c r="F102" s="75" t="n">
        <f aca="false">IF(D54="","",IF(14&gt;IF(D57="",10,D57),"",D54*(1+IF(D55="",0,D55))^ROUNDDOWN((14-1)/IF(D56="",5,D56),0)))</f>
        <v>96768.6444</v>
      </c>
      <c r="G102" s="75" t="n">
        <f aca="false">IF(F102="","",IF((IF(D64="",IF($D$35="",0,$D$35),D64))=0,0,MAX(0,2770864.49-(IF(D65&lt;&gt;"",D65,IF($D$37&lt;&gt;"",$D$37,IF((IF(D64="",IF($D$35="",0,$D$35),D64))=0,0,D54/(IF(D64="",IF($D$35="",0,$D$35),D64)))))))*(IF(D64="",IF($D$35="",0,$D$35),D64))))</f>
        <v>0</v>
      </c>
      <c r="H102" s="75" t="n">
        <f aca="false">IF(F102="","",F102+G102)</f>
        <v>96768.6444</v>
      </c>
      <c r="I102" s="75" t="str">
        <f aca="false">IF(E54="","",IF(14&gt;IF(E57="",10,E57),"",E54*(1+IF(E55="",0,E55))^ROUNDDOWN((14-1)/IF(E56="",5,E56),0)))</f>
        <v/>
      </c>
      <c r="J102" s="75" t="str">
        <f aca="false">IF(I102="","",IF((IF(E64="",IF($D$35="",0,$D$35),E64))=0,0,MAX(0,2770864.49-(IF(E65&lt;&gt;"",E65,IF($D$37&lt;&gt;"",$D$37,IF((IF(E64="",IF($D$35="",0,$D$35),E64))=0,0,E54/(IF(E64="",IF($D$35="",0,$D$35),E64)))))))*(IF(E64="",IF($D$35="",0,$D$35),E64))))</f>
        <v/>
      </c>
      <c r="K102" s="75" t="str">
        <f aca="false">IF(I102="","",I102+J102)</f>
        <v/>
      </c>
      <c r="L102" s="75" t="str">
        <f aca="false">IF(F54="","",IF(14&gt;IF(F57="",10,F57),"",F54*(1+IF(F55="",0,F55))^ROUNDDOWN((14-1)/IF(F56="",5,F56),0)))</f>
        <v/>
      </c>
      <c r="M102" s="75" t="str">
        <f aca="false">IF(L102="","",IF((IF(F64="",IF($D$35="",0,$D$35),F64))=0,0,MAX(0,2770864.49-(IF(F65&lt;&gt;"",F65,IF($D$37&lt;&gt;"",$D$37,IF((IF(F64="",IF($D$35="",0,$D$35),F64))=0,0,F54/(IF(F64="",IF($D$35="",0,$D$35),F64)))))))*(IF(F64="",IF($D$35="",0,$D$35),F64))))</f>
        <v/>
      </c>
      <c r="N102" s="75" t="str">
        <f aca="false">IF(L102="","",L102+M102)</f>
        <v/>
      </c>
      <c r="O102" s="75" t="str">
        <f aca="false">IF(G54="","",IF(14&gt;IF(G57="",10,G57),"",G54*(1+IF(G55="",0,G55))^ROUNDDOWN((14-1)/IF(G56="",5,G56),0)))</f>
        <v/>
      </c>
      <c r="P102" s="75" t="str">
        <f aca="false">IF(O102="","",IF((IF(G64="",IF($D$35="",0,$D$35),G64))=0,0,MAX(0,2770864.49-(IF(G65&lt;&gt;"",G65,IF($D$37&lt;&gt;"",$D$37,IF((IF(G64="",IF($D$35="",0,$D$35),G64))=0,0,G54/(IF(G64="",IF($D$35="",0,$D$35),G64)))))))*(IF(G64="",IF($D$35="",0,$D$35),G64))))</f>
        <v/>
      </c>
      <c r="Q102" s="75" t="str">
        <f aca="false">IF(O102="","",O102+P102)</f>
        <v/>
      </c>
      <c r="R102" s="75" t="str">
        <f aca="false">IF(H54="","",IF(14&gt;IF(H57="",10,H57),"",H54*(1+IF(H55="",0,H55))^ROUNDDOWN((14-1)/IF(H56="",5,H56),0)))</f>
        <v/>
      </c>
      <c r="S102" s="75" t="str">
        <f aca="false">IF(R102="","",IF((IF(H64="",IF($D$35="",0,$D$35),H64))=0,0,MAX(0,2770864.49-(IF(H65&lt;&gt;"",H65,IF($D$37&lt;&gt;"",$D$37,IF((IF(H64="",IF($D$35="",0,$D$35),H64))=0,0,H54/(IF(H64="",IF($D$35="",0,$D$35),H64)))))))*(IF(H64="",IF($D$35="",0,$D$35),H64))))</f>
        <v/>
      </c>
      <c r="T102" s="75" t="str">
        <f aca="false">IF(R102="","",R102+S102)</f>
        <v/>
      </c>
    </row>
    <row r="103" customFormat="false" ht="15" hidden="false" customHeight="false" outlineLevel="0" collapsed="false">
      <c r="A103" s="74" t="n">
        <v>15</v>
      </c>
      <c r="B103" s="75" t="n">
        <v>2826282</v>
      </c>
      <c r="C103" s="76" t="n">
        <v>93011</v>
      </c>
      <c r="D103" s="76" t="n">
        <v>0</v>
      </c>
      <c r="E103" s="76" t="n">
        <v>93011</v>
      </c>
      <c r="F103" s="75" t="n">
        <f aca="false">IF(D54="","",IF(15&gt;IF(D57="",10,D57),"",D54*(1+IF(D55="",0,D55))^ROUNDDOWN((15-1)/IF(D56="",5,D56),0)))</f>
        <v>96768.6444</v>
      </c>
      <c r="G103" s="75" t="n">
        <f aca="false">IF(F103="","",IF((IF(D64="",IF($D$35="",0,$D$35),D64))=0,0,MAX(0,2826281.78-(IF(D65&lt;&gt;"",D65,IF($D$37&lt;&gt;"",$D$37,IF((IF(D64="",IF($D$35="",0,$D$35),D64))=0,0,D54/(IF(D64="",IF($D$35="",0,$D$35),D64)))))))*(IF(D64="",IF($D$35="",0,$D$35),D64))))</f>
        <v>0</v>
      </c>
      <c r="H103" s="75" t="n">
        <f aca="false">IF(F103="","",F103+G103)</f>
        <v>96768.6444</v>
      </c>
      <c r="I103" s="75" t="str">
        <f aca="false">IF(E54="","",IF(15&gt;IF(E57="",10,E57),"",E54*(1+IF(E55="",0,E55))^ROUNDDOWN((15-1)/IF(E56="",5,E56),0)))</f>
        <v/>
      </c>
      <c r="J103" s="75" t="str">
        <f aca="false">IF(I103="","",IF((IF(E64="",IF($D$35="",0,$D$35),E64))=0,0,MAX(0,2826281.78-(IF(E65&lt;&gt;"",E65,IF($D$37&lt;&gt;"",$D$37,IF((IF(E64="",IF($D$35="",0,$D$35),E64))=0,0,E54/(IF(E64="",IF($D$35="",0,$D$35),E64)))))))*(IF(E64="",IF($D$35="",0,$D$35),E64))))</f>
        <v/>
      </c>
      <c r="K103" s="75" t="str">
        <f aca="false">IF(I103="","",I103+J103)</f>
        <v/>
      </c>
      <c r="L103" s="75" t="str">
        <f aca="false">IF(F54="","",IF(15&gt;IF(F57="",10,F57),"",F54*(1+IF(F55="",0,F55))^ROUNDDOWN((15-1)/IF(F56="",5,F56),0)))</f>
        <v/>
      </c>
      <c r="M103" s="75" t="str">
        <f aca="false">IF(L103="","",IF((IF(F64="",IF($D$35="",0,$D$35),F64))=0,0,MAX(0,2826281.78-(IF(F65&lt;&gt;"",F65,IF($D$37&lt;&gt;"",$D$37,IF((IF(F64="",IF($D$35="",0,$D$35),F64))=0,0,F54/(IF(F64="",IF($D$35="",0,$D$35),F64)))))))*(IF(F64="",IF($D$35="",0,$D$35),F64))))</f>
        <v/>
      </c>
      <c r="N103" s="75" t="str">
        <f aca="false">IF(L103="","",L103+M103)</f>
        <v/>
      </c>
      <c r="O103" s="75" t="str">
        <f aca="false">IF(G54="","",IF(15&gt;IF(G57="",10,G57),"",G54*(1+IF(G55="",0,G55))^ROUNDDOWN((15-1)/IF(G56="",5,G56),0)))</f>
        <v/>
      </c>
      <c r="P103" s="75" t="str">
        <f aca="false">IF(O103="","",IF((IF(G64="",IF($D$35="",0,$D$35),G64))=0,0,MAX(0,2826281.78-(IF(G65&lt;&gt;"",G65,IF($D$37&lt;&gt;"",$D$37,IF((IF(G64="",IF($D$35="",0,$D$35),G64))=0,0,G54/(IF(G64="",IF($D$35="",0,$D$35),G64)))))))*(IF(G64="",IF($D$35="",0,$D$35),G64))))</f>
        <v/>
      </c>
      <c r="Q103" s="75" t="str">
        <f aca="false">IF(O103="","",O103+P103)</f>
        <v/>
      </c>
      <c r="R103" s="75" t="str">
        <f aca="false">IF(H54="","",IF(15&gt;IF(H57="",10,H57),"",H54*(1+IF(H55="",0,H55))^ROUNDDOWN((15-1)/IF(H56="",5,H56),0)))</f>
        <v/>
      </c>
      <c r="S103" s="75" t="str">
        <f aca="false">IF(R103="","",IF((IF(H64="",IF($D$35="",0,$D$35),H64))=0,0,MAX(0,2826281.78-(IF(H65&lt;&gt;"",H65,IF($D$37&lt;&gt;"",$D$37,IF((IF(H64="",IF($D$35="",0,$D$35),H64))=0,0,H54/(IF(H64="",IF($D$35="",0,$D$35),H64)))))))*(IF(H64="",IF($D$35="",0,$D$35),H64))))</f>
        <v/>
      </c>
      <c r="T103" s="75" t="str">
        <f aca="false">IF(R103="","",R103+S103)</f>
        <v/>
      </c>
    </row>
    <row r="104" customFormat="false" ht="15" hidden="false" customHeight="false" outlineLevel="0" collapsed="false">
      <c r="A104" s="74" t="n">
        <v>16</v>
      </c>
      <c r="B104" s="75" t="n">
        <v>2882807</v>
      </c>
      <c r="C104" s="76" t="n">
        <v>93011</v>
      </c>
      <c r="D104" s="76" t="n">
        <v>0</v>
      </c>
      <c r="E104" s="76" t="n">
        <v>93011</v>
      </c>
      <c r="F104" s="75" t="n">
        <f aca="false">IF(D54="","",IF(16&gt;IF(D57="",10,D57),"",D54*(1+IF(D55="",0,D55))^ROUNDDOWN((16-1)/IF(D56="",5,D56),0)))</f>
        <v>98704.017288</v>
      </c>
      <c r="G104" s="75" t="n">
        <f aca="false">IF(F104="","",IF((IF(D64="",IF($D$35="",0,$D$35),D64))=0,0,MAX(0,2882807.41-(IF(D65&lt;&gt;"",D65,IF($D$37&lt;&gt;"",$D$37,IF((IF(D64="",IF($D$35="",0,$D$35),D64))=0,0,D54/(IF(D64="",IF($D$35="",0,$D$35),D64)))))))*(IF(D64="",IF($D$35="",0,$D$35),D64))))</f>
        <v>0</v>
      </c>
      <c r="H104" s="75" t="n">
        <f aca="false">IF(F104="","",F104+G104)</f>
        <v>98704.017288</v>
      </c>
      <c r="I104" s="75" t="str">
        <f aca="false">IF(E54="","",IF(16&gt;IF(E57="",10,E57),"",E54*(1+IF(E55="",0,E55))^ROUNDDOWN((16-1)/IF(E56="",5,E56),0)))</f>
        <v/>
      </c>
      <c r="J104" s="75" t="str">
        <f aca="false">IF(I104="","",IF((IF(E64="",IF($D$35="",0,$D$35),E64))=0,0,MAX(0,2882807.41-(IF(E65&lt;&gt;"",E65,IF($D$37&lt;&gt;"",$D$37,IF((IF(E64="",IF($D$35="",0,$D$35),E64))=0,0,E54/(IF(E64="",IF($D$35="",0,$D$35),E64)))))))*(IF(E64="",IF($D$35="",0,$D$35),E64))))</f>
        <v/>
      </c>
      <c r="K104" s="75" t="str">
        <f aca="false">IF(I104="","",I104+J104)</f>
        <v/>
      </c>
      <c r="L104" s="75" t="str">
        <f aca="false">IF(F54="","",IF(16&gt;IF(F57="",10,F57),"",F54*(1+IF(F55="",0,F55))^ROUNDDOWN((16-1)/IF(F56="",5,F56),0)))</f>
        <v/>
      </c>
      <c r="M104" s="75" t="str">
        <f aca="false">IF(L104="","",IF((IF(F64="",IF($D$35="",0,$D$35),F64))=0,0,MAX(0,2882807.41-(IF(F65&lt;&gt;"",F65,IF($D$37&lt;&gt;"",$D$37,IF((IF(F64="",IF($D$35="",0,$D$35),F64))=0,0,F54/(IF(F64="",IF($D$35="",0,$D$35),F64)))))))*(IF(F64="",IF($D$35="",0,$D$35),F64))))</f>
        <v/>
      </c>
      <c r="N104" s="75" t="str">
        <f aca="false">IF(L104="","",L104+M104)</f>
        <v/>
      </c>
      <c r="O104" s="75" t="str">
        <f aca="false">IF(G54="","",IF(16&gt;IF(G57="",10,G57),"",G54*(1+IF(G55="",0,G55))^ROUNDDOWN((16-1)/IF(G56="",5,G56),0)))</f>
        <v/>
      </c>
      <c r="P104" s="75" t="str">
        <f aca="false">IF(O104="","",IF((IF(G64="",IF($D$35="",0,$D$35),G64))=0,0,MAX(0,2882807.41-(IF(G65&lt;&gt;"",G65,IF($D$37&lt;&gt;"",$D$37,IF((IF(G64="",IF($D$35="",0,$D$35),G64))=0,0,G54/(IF(G64="",IF($D$35="",0,$D$35),G64)))))))*(IF(G64="",IF($D$35="",0,$D$35),G64))))</f>
        <v/>
      </c>
      <c r="Q104" s="75" t="str">
        <f aca="false">IF(O104="","",O104+P104)</f>
        <v/>
      </c>
      <c r="R104" s="75" t="str">
        <f aca="false">IF(H54="","",IF(16&gt;IF(H57="",10,H57),"",H54*(1+IF(H55="",0,H55))^ROUNDDOWN((16-1)/IF(H56="",5,H56),0)))</f>
        <v/>
      </c>
      <c r="S104" s="75" t="str">
        <f aca="false">IF(R104="","",IF((IF(H64="",IF($D$35="",0,$D$35),H64))=0,0,MAX(0,2882807.41-(IF(H65&lt;&gt;"",H65,IF($D$37&lt;&gt;"",$D$37,IF((IF(H64="",IF($D$35="",0,$D$35),H64))=0,0,H54/(IF(H64="",IF($D$35="",0,$D$35),H64)))))))*(IF(H64="",IF($D$35="",0,$D$35),H64))))</f>
        <v/>
      </c>
      <c r="T104" s="75" t="str">
        <f aca="false">IF(R104="","",R104+S104)</f>
        <v/>
      </c>
    </row>
    <row r="105" customFormat="false" ht="15" hidden="false" customHeight="false" outlineLevel="0" collapsed="false">
      <c r="A105" s="74" t="n">
        <v>17</v>
      </c>
      <c r="B105" s="75" t="n">
        <v>2940464</v>
      </c>
      <c r="C105" s="76" t="n">
        <v>93011</v>
      </c>
      <c r="D105" s="76" t="n">
        <v>0</v>
      </c>
      <c r="E105" s="76" t="n">
        <v>93011</v>
      </c>
      <c r="F105" s="75" t="n">
        <f aca="false">IF(D54="","",IF(17&gt;IF(D57="",10,D57),"",D54*(1+IF(D55="",0,D55))^ROUNDDOWN((17-1)/IF(D56="",5,D56),0)))</f>
        <v>98704.017288</v>
      </c>
      <c r="G105" s="75" t="n">
        <f aca="false">IF(F105="","",IF((IF(D64="",IF($D$35="",0,$D$35),D64))=0,0,MAX(0,2940463.56-(IF(D65&lt;&gt;"",D65,IF($D$37&lt;&gt;"",$D$37,IF((IF(D64="",IF($D$35="",0,$D$35),D64))=0,0,D54/(IF(D64="",IF($D$35="",0,$D$35),D64)))))))*(IF(D64="",IF($D$35="",0,$D$35),D64))))</f>
        <v>0</v>
      </c>
      <c r="H105" s="75" t="n">
        <f aca="false">IF(F105="","",F105+G105)</f>
        <v>98704.017288</v>
      </c>
      <c r="I105" s="75" t="str">
        <f aca="false">IF(E54="","",IF(17&gt;IF(E57="",10,E57),"",E54*(1+IF(E55="",0,E55))^ROUNDDOWN((17-1)/IF(E56="",5,E56),0)))</f>
        <v/>
      </c>
      <c r="J105" s="75" t="str">
        <f aca="false">IF(I105="","",IF((IF(E64="",IF($D$35="",0,$D$35),E64))=0,0,MAX(0,2940463.56-(IF(E65&lt;&gt;"",E65,IF($D$37&lt;&gt;"",$D$37,IF((IF(E64="",IF($D$35="",0,$D$35),E64))=0,0,E54/(IF(E64="",IF($D$35="",0,$D$35),E64)))))))*(IF(E64="",IF($D$35="",0,$D$35),E64))))</f>
        <v/>
      </c>
      <c r="K105" s="75" t="str">
        <f aca="false">IF(I105="","",I105+J105)</f>
        <v/>
      </c>
      <c r="L105" s="75" t="str">
        <f aca="false">IF(F54="","",IF(17&gt;IF(F57="",10,F57),"",F54*(1+IF(F55="",0,F55))^ROUNDDOWN((17-1)/IF(F56="",5,F56),0)))</f>
        <v/>
      </c>
      <c r="M105" s="75" t="str">
        <f aca="false">IF(L105="","",IF((IF(F64="",IF($D$35="",0,$D$35),F64))=0,0,MAX(0,2940463.56-(IF(F65&lt;&gt;"",F65,IF($D$37&lt;&gt;"",$D$37,IF((IF(F64="",IF($D$35="",0,$D$35),F64))=0,0,F54/(IF(F64="",IF($D$35="",0,$D$35),F64)))))))*(IF(F64="",IF($D$35="",0,$D$35),F64))))</f>
        <v/>
      </c>
      <c r="N105" s="75" t="str">
        <f aca="false">IF(L105="","",L105+M105)</f>
        <v/>
      </c>
      <c r="O105" s="75" t="str">
        <f aca="false">IF(G54="","",IF(17&gt;IF(G57="",10,G57),"",G54*(1+IF(G55="",0,G55))^ROUNDDOWN((17-1)/IF(G56="",5,G56),0)))</f>
        <v/>
      </c>
      <c r="P105" s="75" t="str">
        <f aca="false">IF(O105="","",IF((IF(G64="",IF($D$35="",0,$D$35),G64))=0,0,MAX(0,2940463.56-(IF(G65&lt;&gt;"",G65,IF($D$37&lt;&gt;"",$D$37,IF((IF(G64="",IF($D$35="",0,$D$35),G64))=0,0,G54/(IF(G64="",IF($D$35="",0,$D$35),G64)))))))*(IF(G64="",IF($D$35="",0,$D$35),G64))))</f>
        <v/>
      </c>
      <c r="Q105" s="75" t="str">
        <f aca="false">IF(O105="","",O105+P105)</f>
        <v/>
      </c>
      <c r="R105" s="75" t="str">
        <f aca="false">IF(H54="","",IF(17&gt;IF(H57="",10,H57),"",H54*(1+IF(H55="",0,H55))^ROUNDDOWN((17-1)/IF(H56="",5,H56),0)))</f>
        <v/>
      </c>
      <c r="S105" s="75" t="str">
        <f aca="false">IF(R105="","",IF((IF(H64="",IF($D$35="",0,$D$35),H64))=0,0,MAX(0,2940463.56-(IF(H65&lt;&gt;"",H65,IF($D$37&lt;&gt;"",$D$37,IF((IF(H64="",IF($D$35="",0,$D$35),H64))=0,0,H54/(IF(H64="",IF($D$35="",0,$D$35),H64)))))))*(IF(H64="",IF($D$35="",0,$D$35),H64))))</f>
        <v/>
      </c>
      <c r="T105" s="75" t="str">
        <f aca="false">IF(R105="","",R105+S105)</f>
        <v/>
      </c>
    </row>
    <row r="106" customFormat="false" ht="15" hidden="false" customHeight="false" outlineLevel="0" collapsed="false">
      <c r="A106" s="74" t="n">
        <v>18</v>
      </c>
      <c r="B106" s="75" t="n">
        <v>2999273</v>
      </c>
      <c r="C106" s="76" t="n">
        <v>93011</v>
      </c>
      <c r="D106" s="76" t="n">
        <v>0</v>
      </c>
      <c r="E106" s="76" t="n">
        <v>93011</v>
      </c>
      <c r="F106" s="75" t="n">
        <f aca="false">IF(D54="","",IF(18&gt;IF(D57="",10,D57),"",D54*(1+IF(D55="",0,D55))^ROUNDDOWN((18-1)/IF(D56="",5,D56),0)))</f>
        <v>98704.017288</v>
      </c>
      <c r="G106" s="75" t="n">
        <f aca="false">IF(F106="","",IF((IF(D64="",IF($D$35="",0,$D$35),D64))=0,0,MAX(0,2999272.83-(IF(D65&lt;&gt;"",D65,IF($D$37&lt;&gt;"",$D$37,IF((IF(D64="",IF($D$35="",0,$D$35),D64))=0,0,D54/(IF(D64="",IF($D$35="",0,$D$35),D64)))))))*(IF(D64="",IF($D$35="",0,$D$35),D64))))</f>
        <v>0</v>
      </c>
      <c r="H106" s="75" t="n">
        <f aca="false">IF(F106="","",F106+G106)</f>
        <v>98704.017288</v>
      </c>
      <c r="I106" s="75" t="str">
        <f aca="false">IF(E54="","",IF(18&gt;IF(E57="",10,E57),"",E54*(1+IF(E55="",0,E55))^ROUNDDOWN((18-1)/IF(E56="",5,E56),0)))</f>
        <v/>
      </c>
      <c r="J106" s="75" t="str">
        <f aca="false">IF(I106="","",IF((IF(E64="",IF($D$35="",0,$D$35),E64))=0,0,MAX(0,2999272.83-(IF(E65&lt;&gt;"",E65,IF($D$37&lt;&gt;"",$D$37,IF((IF(E64="",IF($D$35="",0,$D$35),E64))=0,0,E54/(IF(E64="",IF($D$35="",0,$D$35),E64)))))))*(IF(E64="",IF($D$35="",0,$D$35),E64))))</f>
        <v/>
      </c>
      <c r="K106" s="75" t="str">
        <f aca="false">IF(I106="","",I106+J106)</f>
        <v/>
      </c>
      <c r="L106" s="75" t="str">
        <f aca="false">IF(F54="","",IF(18&gt;IF(F57="",10,F57),"",F54*(1+IF(F55="",0,F55))^ROUNDDOWN((18-1)/IF(F56="",5,F56),0)))</f>
        <v/>
      </c>
      <c r="M106" s="75" t="str">
        <f aca="false">IF(L106="","",IF((IF(F64="",IF($D$35="",0,$D$35),F64))=0,0,MAX(0,2999272.83-(IF(F65&lt;&gt;"",F65,IF($D$37&lt;&gt;"",$D$37,IF((IF(F64="",IF($D$35="",0,$D$35),F64))=0,0,F54/(IF(F64="",IF($D$35="",0,$D$35),F64)))))))*(IF(F64="",IF($D$35="",0,$D$35),F64))))</f>
        <v/>
      </c>
      <c r="N106" s="75" t="str">
        <f aca="false">IF(L106="","",L106+M106)</f>
        <v/>
      </c>
      <c r="O106" s="75" t="str">
        <f aca="false">IF(G54="","",IF(18&gt;IF(G57="",10,G57),"",G54*(1+IF(G55="",0,G55))^ROUNDDOWN((18-1)/IF(G56="",5,G56),0)))</f>
        <v/>
      </c>
      <c r="P106" s="75" t="str">
        <f aca="false">IF(O106="","",IF((IF(G64="",IF($D$35="",0,$D$35),G64))=0,0,MAX(0,2999272.83-(IF(G65&lt;&gt;"",G65,IF($D$37&lt;&gt;"",$D$37,IF((IF(G64="",IF($D$35="",0,$D$35),G64))=0,0,G54/(IF(G64="",IF($D$35="",0,$D$35),G64)))))))*(IF(G64="",IF($D$35="",0,$D$35),G64))))</f>
        <v/>
      </c>
      <c r="Q106" s="75" t="str">
        <f aca="false">IF(O106="","",O106+P106)</f>
        <v/>
      </c>
      <c r="R106" s="75" t="str">
        <f aca="false">IF(H54="","",IF(18&gt;IF(H57="",10,H57),"",H54*(1+IF(H55="",0,H55))^ROUNDDOWN((18-1)/IF(H56="",5,H56),0)))</f>
        <v/>
      </c>
      <c r="S106" s="75" t="str">
        <f aca="false">IF(R106="","",IF((IF(H64="",IF($D$35="",0,$D$35),H64))=0,0,MAX(0,2999272.83-(IF(H65&lt;&gt;"",H65,IF($D$37&lt;&gt;"",$D$37,IF((IF(H64="",IF($D$35="",0,$D$35),H64))=0,0,H54/(IF(H64="",IF($D$35="",0,$D$35),H64)))))))*(IF(H64="",IF($D$35="",0,$D$35),H64))))</f>
        <v/>
      </c>
      <c r="T106" s="75" t="str">
        <f aca="false">IF(R106="","",R106+S106)</f>
        <v/>
      </c>
    </row>
    <row r="107" customFormat="false" ht="15" hidden="false" customHeight="false" outlineLevel="0" collapsed="false">
      <c r="A107" s="74" t="n">
        <v>19</v>
      </c>
      <c r="B107" s="75" t="n">
        <v>3059258</v>
      </c>
      <c r="C107" s="76" t="n">
        <v>93011</v>
      </c>
      <c r="D107" s="76" t="n">
        <v>0</v>
      </c>
      <c r="E107" s="76" t="n">
        <v>93011</v>
      </c>
      <c r="F107" s="75" t="n">
        <f aca="false">IF(D54="","",IF(19&gt;IF(D57="",10,D57),"",D54*(1+IF(D55="",0,D55))^ROUNDDOWN((19-1)/IF(D56="",5,D56),0)))</f>
        <v>98704.017288</v>
      </c>
      <c r="G107" s="75" t="n">
        <f aca="false">IF(F107="","",IF((IF(D64="",IF($D$35="",0,$D$35),D64))=0,0,MAX(0,3059258.29-(IF(D65&lt;&gt;"",D65,IF($D$37&lt;&gt;"",$D$37,IF((IF(D64="",IF($D$35="",0,$D$35),D64))=0,0,D54/(IF(D64="",IF($D$35="",0,$D$35),D64)))))))*(IF(D64="",IF($D$35="",0,$D$35),D64))))</f>
        <v>0</v>
      </c>
      <c r="H107" s="75" t="n">
        <f aca="false">IF(F107="","",F107+G107)</f>
        <v>98704.017288</v>
      </c>
      <c r="I107" s="75" t="str">
        <f aca="false">IF(E54="","",IF(19&gt;IF(E57="",10,E57),"",E54*(1+IF(E55="",0,E55))^ROUNDDOWN((19-1)/IF(E56="",5,E56),0)))</f>
        <v/>
      </c>
      <c r="J107" s="75" t="str">
        <f aca="false">IF(I107="","",IF((IF(E64="",IF($D$35="",0,$D$35),E64))=0,0,MAX(0,3059258.29-(IF(E65&lt;&gt;"",E65,IF($D$37&lt;&gt;"",$D$37,IF((IF(E64="",IF($D$35="",0,$D$35),E64))=0,0,E54/(IF(E64="",IF($D$35="",0,$D$35),E64)))))))*(IF(E64="",IF($D$35="",0,$D$35),E64))))</f>
        <v/>
      </c>
      <c r="K107" s="75" t="str">
        <f aca="false">IF(I107="","",I107+J107)</f>
        <v/>
      </c>
      <c r="L107" s="75" t="str">
        <f aca="false">IF(F54="","",IF(19&gt;IF(F57="",10,F57),"",F54*(1+IF(F55="",0,F55))^ROUNDDOWN((19-1)/IF(F56="",5,F56),0)))</f>
        <v/>
      </c>
      <c r="M107" s="75" t="str">
        <f aca="false">IF(L107="","",IF((IF(F64="",IF($D$35="",0,$D$35),F64))=0,0,MAX(0,3059258.29-(IF(F65&lt;&gt;"",F65,IF($D$37&lt;&gt;"",$D$37,IF((IF(F64="",IF($D$35="",0,$D$35),F64))=0,0,F54/(IF(F64="",IF($D$35="",0,$D$35),F64)))))))*(IF(F64="",IF($D$35="",0,$D$35),F64))))</f>
        <v/>
      </c>
      <c r="N107" s="75" t="str">
        <f aca="false">IF(L107="","",L107+M107)</f>
        <v/>
      </c>
      <c r="O107" s="75" t="str">
        <f aca="false">IF(G54="","",IF(19&gt;IF(G57="",10,G57),"",G54*(1+IF(G55="",0,G55))^ROUNDDOWN((19-1)/IF(G56="",5,G56),0)))</f>
        <v/>
      </c>
      <c r="P107" s="75" t="str">
        <f aca="false">IF(O107="","",IF((IF(G64="",IF($D$35="",0,$D$35),G64))=0,0,MAX(0,3059258.29-(IF(G65&lt;&gt;"",G65,IF($D$37&lt;&gt;"",$D$37,IF((IF(G64="",IF($D$35="",0,$D$35),G64))=0,0,G54/(IF(G64="",IF($D$35="",0,$D$35),G64)))))))*(IF(G64="",IF($D$35="",0,$D$35),G64))))</f>
        <v/>
      </c>
      <c r="Q107" s="75" t="str">
        <f aca="false">IF(O107="","",O107+P107)</f>
        <v/>
      </c>
      <c r="R107" s="75" t="str">
        <f aca="false">IF(H54="","",IF(19&gt;IF(H57="",10,H57),"",H54*(1+IF(H55="",0,H55))^ROUNDDOWN((19-1)/IF(H56="",5,H56),0)))</f>
        <v/>
      </c>
      <c r="S107" s="75" t="str">
        <f aca="false">IF(R107="","",IF((IF(H64="",IF($D$35="",0,$D$35),H64))=0,0,MAX(0,3059258.29-(IF(H65&lt;&gt;"",H65,IF($D$37&lt;&gt;"",$D$37,IF((IF(H64="",IF($D$35="",0,$D$35),H64))=0,0,H54/(IF(H64="",IF($D$35="",0,$D$35),H64)))))))*(IF(H64="",IF($D$35="",0,$D$35),H64))))</f>
        <v/>
      </c>
      <c r="T107" s="75" t="str">
        <f aca="false">IF(R107="","",R107+S107)</f>
        <v/>
      </c>
    </row>
    <row r="108" customFormat="false" ht="15" hidden="false" customHeight="false" outlineLevel="0" collapsed="false">
      <c r="A108" s="74" t="n">
        <v>20</v>
      </c>
      <c r="B108" s="75" t="n">
        <v>3120443</v>
      </c>
      <c r="C108" s="76" t="n">
        <v>93011</v>
      </c>
      <c r="D108" s="76" t="n">
        <v>0</v>
      </c>
      <c r="E108" s="76" t="n">
        <v>93011</v>
      </c>
      <c r="F108" s="75" t="n">
        <f aca="false">IF(D54="","",IF(20&gt;IF(D57="",10,D57),"",D54*(1+IF(D55="",0,D55))^ROUNDDOWN((20-1)/IF(D56="",5,D56),0)))</f>
        <v>98704.017288</v>
      </c>
      <c r="G108" s="75" t="n">
        <f aca="false">IF(F108="","",IF((IF(D64="",IF($D$35="",0,$D$35),D64))=0,0,MAX(0,3120443.45-(IF(D65&lt;&gt;"",D65,IF($D$37&lt;&gt;"",$D$37,IF((IF(D64="",IF($D$35="",0,$D$35),D64))=0,0,D54/(IF(D64="",IF($D$35="",0,$D$35),D64)))))))*(IF(D64="",IF($D$35="",0,$D$35),D64))))</f>
        <v>0</v>
      </c>
      <c r="H108" s="75" t="n">
        <f aca="false">IF(F108="","",F108+G108)</f>
        <v>98704.017288</v>
      </c>
      <c r="I108" s="75" t="str">
        <f aca="false">IF(E54="","",IF(20&gt;IF(E57="",10,E57),"",E54*(1+IF(E55="",0,E55))^ROUNDDOWN((20-1)/IF(E56="",5,E56),0)))</f>
        <v/>
      </c>
      <c r="J108" s="75" t="str">
        <f aca="false">IF(I108="","",IF((IF(E64="",IF($D$35="",0,$D$35),E64))=0,0,MAX(0,3120443.45-(IF(E65&lt;&gt;"",E65,IF($D$37&lt;&gt;"",$D$37,IF((IF(E64="",IF($D$35="",0,$D$35),E64))=0,0,E54/(IF(E64="",IF($D$35="",0,$D$35),E64)))))))*(IF(E64="",IF($D$35="",0,$D$35),E64))))</f>
        <v/>
      </c>
      <c r="K108" s="75" t="str">
        <f aca="false">IF(I108="","",I108+J108)</f>
        <v/>
      </c>
      <c r="L108" s="75" t="str">
        <f aca="false">IF(F54="","",IF(20&gt;IF(F57="",10,F57),"",F54*(1+IF(F55="",0,F55))^ROUNDDOWN((20-1)/IF(F56="",5,F56),0)))</f>
        <v/>
      </c>
      <c r="M108" s="75" t="str">
        <f aca="false">IF(L108="","",IF((IF(F64="",IF($D$35="",0,$D$35),F64))=0,0,MAX(0,3120443.45-(IF(F65&lt;&gt;"",F65,IF($D$37&lt;&gt;"",$D$37,IF((IF(F64="",IF($D$35="",0,$D$35),F64))=0,0,F54/(IF(F64="",IF($D$35="",0,$D$35),F64)))))))*(IF(F64="",IF($D$35="",0,$D$35),F64))))</f>
        <v/>
      </c>
      <c r="N108" s="75" t="str">
        <f aca="false">IF(L108="","",L108+M108)</f>
        <v/>
      </c>
      <c r="O108" s="75" t="str">
        <f aca="false">IF(G54="","",IF(20&gt;IF(G57="",10,G57),"",G54*(1+IF(G55="",0,G55))^ROUNDDOWN((20-1)/IF(G56="",5,G56),0)))</f>
        <v/>
      </c>
      <c r="P108" s="75" t="str">
        <f aca="false">IF(O108="","",IF((IF(G64="",IF($D$35="",0,$D$35),G64))=0,0,MAX(0,3120443.45-(IF(G65&lt;&gt;"",G65,IF($D$37&lt;&gt;"",$D$37,IF((IF(G64="",IF($D$35="",0,$D$35),G64))=0,0,G54/(IF(G64="",IF($D$35="",0,$D$35),G64)))))))*(IF(G64="",IF($D$35="",0,$D$35),G64))))</f>
        <v/>
      </c>
      <c r="Q108" s="75" t="str">
        <f aca="false">IF(O108="","",O108+P108)</f>
        <v/>
      </c>
      <c r="R108" s="75" t="str">
        <f aca="false">IF(H54="","",IF(20&gt;IF(H57="",10,H57),"",H54*(1+IF(H55="",0,H55))^ROUNDDOWN((20-1)/IF(H56="",5,H56),0)))</f>
        <v/>
      </c>
      <c r="S108" s="75" t="str">
        <f aca="false">IF(R108="","",IF((IF(H64="",IF($D$35="",0,$D$35),H64))=0,0,MAX(0,3120443.45-(IF(H65&lt;&gt;"",H65,IF($D$37&lt;&gt;"",$D$37,IF((IF(H64="",IF($D$35="",0,$D$35),H64))=0,0,H54/(IF(H64="",IF($D$35="",0,$D$35),H64)))))))*(IF(H64="",IF($D$35="",0,$D$35),H64))))</f>
        <v/>
      </c>
      <c r="T108" s="75" t="str">
        <f aca="false">IF(R108="","",R108+S108)</f>
        <v/>
      </c>
    </row>
    <row r="109" customFormat="false" ht="15" hidden="false" customHeight="false" outlineLevel="0" collapsed="false">
      <c r="A109" s="77" t="s">
        <v>394</v>
      </c>
      <c r="C109" s="78" t="n">
        <f aca="false">IF(COUNT(C89:C108)=0,"",SUM(C89:C108))</f>
        <v>1860220</v>
      </c>
      <c r="D109" s="78" t="n">
        <f aca="false">IF(COUNT(D89:D108)=0,"",SUM(D89:D108))</f>
        <v>0</v>
      </c>
      <c r="E109" s="78" t="n">
        <f aca="false">IF(COUNT(E89:E108)=0,"",SUM(E89:E108))</f>
        <v>1860220</v>
      </c>
      <c r="F109" s="78" t="n">
        <f aca="false">IF(COUNT(F89:F108)=0,"",SUM(F89:F108))</f>
        <v>1916774.40844</v>
      </c>
      <c r="G109" s="78" t="n">
        <f aca="false">IF(COUNT(G89:G108)=0,"",SUM(G89:G108))</f>
        <v>0</v>
      </c>
      <c r="H109" s="78" t="n">
        <f aca="false">IF(COUNT(H89:H108)=0,"",SUM(H89:H108))</f>
        <v>1916774.40844</v>
      </c>
      <c r="I109" s="78" t="str">
        <f aca="false">IF(COUNT(I89:I108)=0,"",SUM(I89:I108))</f>
        <v/>
      </c>
      <c r="J109" s="78" t="str">
        <f aca="false">IF(COUNT(J89:J108)=0,"",SUM(J89:J108))</f>
        <v/>
      </c>
      <c r="K109" s="78" t="str">
        <f aca="false">IF(COUNT(K89:K108)=0,"",SUM(K89:K108))</f>
        <v/>
      </c>
      <c r="L109" s="78" t="str">
        <f aca="false">IF(COUNT(L89:L108)=0,"",SUM(L89:L108))</f>
        <v/>
      </c>
      <c r="M109" s="78" t="str">
        <f aca="false">IF(COUNT(M89:M108)=0,"",SUM(M89:M108))</f>
        <v/>
      </c>
      <c r="N109" s="78" t="str">
        <f aca="false">IF(COUNT(N89:N108)=0,"",SUM(N89:N108))</f>
        <v/>
      </c>
      <c r="O109" s="78" t="str">
        <f aca="false">IF(COUNT(O89:O108)=0,"",SUM(O89:O108))</f>
        <v/>
      </c>
      <c r="P109" s="78" t="str">
        <f aca="false">IF(COUNT(P89:P108)=0,"",SUM(P89:P108))</f>
        <v/>
      </c>
      <c r="Q109" s="78" t="str">
        <f aca="false">IF(COUNT(Q89:Q108)=0,"",SUM(Q89:Q108))</f>
        <v/>
      </c>
      <c r="R109" s="78" t="str">
        <f aca="false">IF(COUNT(R89:R108)=0,"",SUM(R89:R108))</f>
        <v/>
      </c>
      <c r="S109" s="78" t="str">
        <f aca="false">IF(COUNT(S89:S108)=0,"",SUM(S89:S108))</f>
        <v/>
      </c>
      <c r="T109" s="78" t="str">
        <f aca="false">IF(COUNT(T89:T108)=0,"",SUM(T89:T108))</f>
        <v/>
      </c>
    </row>
    <row r="110" customFormat="false" ht="15" hidden="false" customHeight="false" outlineLevel="0" collapsed="false">
      <c r="A110" s="69" t="s">
        <v>395</v>
      </c>
      <c r="B110" s="69"/>
      <c r="C110" s="69"/>
      <c r="D110" s="69"/>
      <c r="E110" s="69"/>
      <c r="F110" s="69"/>
      <c r="G110" s="69"/>
      <c r="H110" s="69"/>
      <c r="I110" s="69"/>
      <c r="J110" s="69"/>
      <c r="K110" s="69"/>
      <c r="L110" s="69"/>
      <c r="M110" s="69"/>
      <c r="N110" s="69"/>
      <c r="O110" s="69"/>
      <c r="P110" s="69"/>
      <c r="Q110" s="69"/>
      <c r="R110" s="69"/>
      <c r="S110" s="69"/>
      <c r="T110" s="69"/>
    </row>
  </sheetData>
  <mergeCells count="84">
    <mergeCell ref="A2:J2"/>
    <mergeCell ref="A3:J3"/>
    <mergeCell ref="A4:J4"/>
    <mergeCell ref="A5:J5"/>
    <mergeCell ref="A6:J6"/>
    <mergeCell ref="A7:J7"/>
    <mergeCell ref="A8:J8"/>
    <mergeCell ref="A10:C10"/>
    <mergeCell ref="D10:J10"/>
    <mergeCell ref="A11:C11"/>
    <mergeCell ref="D11:J11"/>
    <mergeCell ref="A12:C12"/>
    <mergeCell ref="D12:J12"/>
    <mergeCell ref="A13:C13"/>
    <mergeCell ref="D13:J13"/>
    <mergeCell ref="A14:C14"/>
    <mergeCell ref="D14:J14"/>
    <mergeCell ref="G17:J17"/>
    <mergeCell ref="G18:J18"/>
    <mergeCell ref="G19:J19"/>
    <mergeCell ref="G20:J20"/>
    <mergeCell ref="A21:D21"/>
    <mergeCell ref="A22:J22"/>
    <mergeCell ref="A25:C25"/>
    <mergeCell ref="A26:C26"/>
    <mergeCell ref="E26:J26"/>
    <mergeCell ref="A27:C27"/>
    <mergeCell ref="E27:J27"/>
    <mergeCell ref="A28:C28"/>
    <mergeCell ref="A29:C29"/>
    <mergeCell ref="A30:C30"/>
    <mergeCell ref="E30:J30"/>
    <mergeCell ref="A31:J31"/>
    <mergeCell ref="A32:J32"/>
    <mergeCell ref="A35:C35"/>
    <mergeCell ref="E35:J35"/>
    <mergeCell ref="A36:C36"/>
    <mergeCell ref="E36:J36"/>
    <mergeCell ref="A37:C37"/>
    <mergeCell ref="E37:J37"/>
    <mergeCell ref="A38:C38"/>
    <mergeCell ref="E38:J38"/>
    <mergeCell ref="A39:C39"/>
    <mergeCell ref="A40:C40"/>
    <mergeCell ref="A41:C41"/>
    <mergeCell ref="A42:C42"/>
    <mergeCell ref="A49:G49"/>
    <mergeCell ref="A52:C52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2:C62"/>
    <mergeCell ref="A63:C63"/>
    <mergeCell ref="A64:C64"/>
    <mergeCell ref="A65:C65"/>
    <mergeCell ref="A66:C66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79:J79"/>
    <mergeCell ref="A80:J80"/>
    <mergeCell ref="A82:J82"/>
    <mergeCell ref="A86:T86"/>
    <mergeCell ref="C87:E87"/>
    <mergeCell ref="F87:H87"/>
    <mergeCell ref="I87:K87"/>
    <mergeCell ref="L87:N87"/>
    <mergeCell ref="O87:Q87"/>
    <mergeCell ref="R87:T87"/>
    <mergeCell ref="A110:T110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T10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6"/>
    <col collapsed="false" customWidth="true" hidden="false" outlineLevel="0" max="2" min="2" style="0" width="22"/>
    <col collapsed="false" customWidth="true" hidden="false" outlineLevel="0" max="3" min="3" style="0" width="11"/>
    <col collapsed="false" customWidth="true" hidden="false" outlineLevel="0" max="4" min="4" style="0" width="14"/>
    <col collapsed="false" customWidth="true" hidden="false" outlineLevel="0" max="6" min="5" style="0" width="12"/>
    <col collapsed="false" customWidth="true" hidden="false" outlineLevel="0" max="7" min="7" style="0" width="14"/>
    <col collapsed="false" customWidth="true" hidden="false" outlineLevel="0" max="9" min="8" style="0" width="13"/>
    <col collapsed="false" customWidth="true" hidden="false" outlineLevel="0" max="10" min="10" style="0" width="26"/>
  </cols>
  <sheetData>
    <row r="1" customFormat="false" ht="16.15" hidden="false" customHeight="false" outlineLevel="0" collapsed="false">
      <c r="A1" s="3" t="s">
        <v>396</v>
      </c>
    </row>
    <row r="2" customFormat="false" ht="25.5" hidden="false" customHeight="true" outlineLevel="0" collapsed="false">
      <c r="A2" s="12" t="s">
        <v>251</v>
      </c>
      <c r="B2" s="12"/>
      <c r="C2" s="12"/>
      <c r="D2" s="12"/>
      <c r="E2" s="12"/>
      <c r="F2" s="12"/>
      <c r="G2" s="12"/>
      <c r="H2" s="12"/>
      <c r="I2" s="12"/>
      <c r="J2" s="12"/>
    </row>
    <row r="3" customFormat="false" ht="26.85" hidden="false" customHeight="true" outlineLevel="0" collapsed="false">
      <c r="A3" s="16" t="s">
        <v>397</v>
      </c>
      <c r="B3" s="16"/>
      <c r="C3" s="16"/>
      <c r="D3" s="16"/>
      <c r="E3" s="16"/>
      <c r="F3" s="16"/>
      <c r="G3" s="16"/>
      <c r="H3" s="16"/>
      <c r="I3" s="16"/>
      <c r="J3" s="16"/>
    </row>
    <row r="4" customFormat="false" ht="30" hidden="false" customHeight="true" outlineLevel="0" collapsed="false">
      <c r="A4" s="17" t="s">
        <v>21</v>
      </c>
      <c r="B4" s="17"/>
      <c r="C4" s="17"/>
      <c r="D4" s="17"/>
      <c r="E4" s="17"/>
      <c r="F4" s="17"/>
      <c r="G4" s="17"/>
      <c r="H4" s="17"/>
      <c r="I4" s="17"/>
      <c r="J4" s="17"/>
    </row>
    <row r="5" customFormat="false" ht="57.45" hidden="false" customHeight="true" outlineLevel="0" collapsed="false">
      <c r="A5" s="79" t="s">
        <v>22</v>
      </c>
      <c r="B5" s="79"/>
      <c r="C5" s="79"/>
      <c r="D5" s="79"/>
      <c r="E5" s="79"/>
      <c r="F5" s="79"/>
      <c r="G5" s="79"/>
      <c r="H5" s="79"/>
      <c r="I5" s="79"/>
      <c r="J5" s="79"/>
    </row>
    <row r="6" customFormat="false" ht="15" hidden="false" customHeight="true" outlineLevel="0" collapsed="false">
      <c r="A6" s="19" t="s">
        <v>23</v>
      </c>
      <c r="B6" s="19"/>
      <c r="C6" s="19"/>
      <c r="D6" s="19"/>
      <c r="E6" s="19"/>
      <c r="F6" s="19"/>
      <c r="G6" s="19"/>
      <c r="H6" s="19"/>
      <c r="I6" s="19"/>
      <c r="J6" s="19"/>
    </row>
    <row r="7" customFormat="false" ht="23.85" hidden="false" customHeight="true" outlineLevel="0" collapsed="false">
      <c r="A7" s="20" t="s">
        <v>398</v>
      </c>
      <c r="B7" s="20"/>
      <c r="C7" s="20"/>
      <c r="D7" s="20"/>
      <c r="E7" s="20"/>
      <c r="F7" s="20"/>
      <c r="G7" s="20"/>
      <c r="H7" s="20"/>
      <c r="I7" s="20"/>
      <c r="J7" s="20"/>
    </row>
    <row r="8" customFormat="false" ht="15" hidden="false" customHeight="true" outlineLevel="0" collapsed="false">
      <c r="A8" s="21" t="s">
        <v>254</v>
      </c>
      <c r="B8" s="21"/>
      <c r="C8" s="21"/>
      <c r="D8" s="21"/>
      <c r="E8" s="21"/>
      <c r="F8" s="21"/>
      <c r="G8" s="21"/>
      <c r="H8" s="21"/>
      <c r="I8" s="21"/>
      <c r="J8" s="21"/>
    </row>
    <row r="10" customFormat="false" ht="15" hidden="false" customHeight="true" outlineLevel="0" collapsed="false">
      <c r="A10" s="22" t="s">
        <v>255</v>
      </c>
      <c r="B10" s="22"/>
      <c r="C10" s="22"/>
      <c r="D10" s="23" t="s">
        <v>399</v>
      </c>
      <c r="E10" s="23"/>
      <c r="F10" s="23"/>
      <c r="G10" s="23"/>
      <c r="H10" s="23"/>
      <c r="I10" s="23"/>
      <c r="J10" s="23"/>
    </row>
    <row r="11" customFormat="false" ht="15" hidden="false" customHeight="true" outlineLevel="0" collapsed="false">
      <c r="A11" s="22" t="s">
        <v>257</v>
      </c>
      <c r="B11" s="22"/>
      <c r="C11" s="22"/>
      <c r="D11" s="23" t="s">
        <v>400</v>
      </c>
      <c r="E11" s="23"/>
      <c r="F11" s="23"/>
      <c r="G11" s="23"/>
      <c r="H11" s="23"/>
      <c r="I11" s="23"/>
      <c r="J11" s="23"/>
    </row>
    <row r="12" customFormat="false" ht="15" hidden="false" customHeight="true" outlineLevel="0" collapsed="false">
      <c r="A12" s="22" t="s">
        <v>259</v>
      </c>
      <c r="B12" s="22"/>
      <c r="C12" s="22"/>
      <c r="D12" s="23" t="s">
        <v>401</v>
      </c>
      <c r="E12" s="23"/>
      <c r="F12" s="23"/>
      <c r="G12" s="23"/>
      <c r="H12" s="23"/>
      <c r="I12" s="23"/>
      <c r="J12" s="23"/>
    </row>
    <row r="13" customFormat="false" ht="15" hidden="false" customHeight="true" outlineLevel="0" collapsed="false">
      <c r="A13" s="22" t="s">
        <v>261</v>
      </c>
      <c r="B13" s="22"/>
      <c r="C13" s="22"/>
      <c r="D13" s="24" t="n">
        <v>2648646.55</v>
      </c>
      <c r="E13" s="24"/>
      <c r="F13" s="24"/>
      <c r="G13" s="24"/>
      <c r="H13" s="24"/>
      <c r="I13" s="24"/>
      <c r="J13" s="24"/>
    </row>
    <row r="14" customFormat="false" ht="68.65" hidden="false" customHeight="true" outlineLevel="0" collapsed="false">
      <c r="A14" s="22" t="s">
        <v>262</v>
      </c>
      <c r="B14" s="22"/>
      <c r="C14" s="22"/>
      <c r="D14" s="22" t="s">
        <v>402</v>
      </c>
      <c r="E14" s="22"/>
      <c r="F14" s="22"/>
      <c r="G14" s="22"/>
      <c r="H14" s="22"/>
      <c r="I14" s="22"/>
      <c r="J14" s="22"/>
    </row>
    <row r="16" customFormat="false" ht="15" hidden="false" customHeight="false" outlineLevel="0" collapsed="false">
      <c r="A16" s="25" t="s">
        <v>264</v>
      </c>
    </row>
    <row r="17" customFormat="false" ht="22.35" hidden="false" customHeight="true" outlineLevel="0" collapsed="false">
      <c r="A17" s="26" t="s">
        <v>265</v>
      </c>
      <c r="B17" s="26" t="s">
        <v>266</v>
      </c>
      <c r="C17" s="26" t="s">
        <v>267</v>
      </c>
      <c r="D17" s="26" t="s">
        <v>268</v>
      </c>
      <c r="E17" s="26" t="s">
        <v>269</v>
      </c>
      <c r="F17" s="26" t="s">
        <v>270</v>
      </c>
      <c r="G17" s="26" t="s">
        <v>271</v>
      </c>
      <c r="H17" s="26"/>
      <c r="I17" s="26"/>
      <c r="J17" s="26"/>
    </row>
    <row r="18" customFormat="false" ht="23.85" hidden="false" customHeight="true" outlineLevel="0" collapsed="false">
      <c r="A18" s="27" t="s">
        <v>403</v>
      </c>
      <c r="B18" s="28" t="s">
        <v>404</v>
      </c>
      <c r="C18" s="28" t="s">
        <v>405</v>
      </c>
      <c r="D18" s="29" t="n">
        <v>4003.92</v>
      </c>
      <c r="E18" s="30" t="n">
        <f aca="false">IF(D18="","",D18*12)</f>
        <v>48047.04</v>
      </c>
      <c r="F18" s="31" t="n">
        <v>0.5</v>
      </c>
      <c r="G18" s="32" t="s">
        <v>406</v>
      </c>
      <c r="H18" s="32"/>
      <c r="I18" s="32"/>
      <c r="J18" s="32"/>
    </row>
    <row r="19" customFormat="false" ht="23.85" hidden="false" customHeight="true" outlineLevel="0" collapsed="false">
      <c r="A19" s="27" t="s">
        <v>407</v>
      </c>
      <c r="B19" s="28" t="s">
        <v>408</v>
      </c>
      <c r="C19" s="28" t="s">
        <v>409</v>
      </c>
      <c r="D19" s="80" t="n">
        <v>4085</v>
      </c>
      <c r="E19" s="30" t="n">
        <f aca="false">IF(D19="","",D19*12)</f>
        <v>49020</v>
      </c>
      <c r="F19" s="31" t="n">
        <v>5</v>
      </c>
      <c r="G19" s="32" t="s">
        <v>410</v>
      </c>
      <c r="H19" s="32"/>
      <c r="I19" s="32"/>
      <c r="J19" s="32"/>
    </row>
    <row r="20" customFormat="false" ht="23.85" hidden="false" customHeight="true" outlineLevel="0" collapsed="false">
      <c r="A20" s="27" t="s">
        <v>411</v>
      </c>
      <c r="B20" s="28" t="s">
        <v>412</v>
      </c>
      <c r="C20" s="28" t="s">
        <v>413</v>
      </c>
      <c r="D20" s="80" t="n">
        <v>4510</v>
      </c>
      <c r="E20" s="30" t="n">
        <f aca="false">IF(D20="","",D20*12)</f>
        <v>54120</v>
      </c>
      <c r="F20" s="31" t="n">
        <v>4.5</v>
      </c>
      <c r="G20" s="32" t="s">
        <v>414</v>
      </c>
      <c r="H20" s="32"/>
      <c r="I20" s="32"/>
      <c r="J20" s="32"/>
    </row>
    <row r="21" customFormat="false" ht="15" hidden="false" customHeight="false" outlineLevel="0" collapsed="false">
      <c r="A21" s="34" t="s">
        <v>284</v>
      </c>
      <c r="B21" s="34"/>
      <c r="C21" s="34"/>
      <c r="D21" s="34"/>
      <c r="E21" s="35" t="n">
        <f aca="false">IF(SUMPRODUCT(E18:E20,F18:F20)=0,"",SUMPRODUCT(E18:E20,F18:F20))</f>
        <v>512663.52</v>
      </c>
      <c r="F21" s="36"/>
      <c r="G21" s="36"/>
      <c r="H21" s="36"/>
      <c r="I21" s="36"/>
      <c r="J21" s="36"/>
    </row>
    <row r="22" customFormat="false" ht="15" hidden="false" customHeight="false" outlineLevel="0" collapsed="false">
      <c r="A22" s="81" t="s">
        <v>415</v>
      </c>
      <c r="B22" s="81"/>
      <c r="C22" s="81"/>
      <c r="D22" s="81"/>
      <c r="E22" s="81"/>
      <c r="F22" s="81"/>
      <c r="G22" s="81"/>
      <c r="H22" s="81"/>
      <c r="I22" s="81"/>
      <c r="J22" s="81"/>
    </row>
    <row r="24" customFormat="false" ht="15" hidden="false" customHeight="false" outlineLevel="0" collapsed="false">
      <c r="A24" s="25" t="s">
        <v>286</v>
      </c>
    </row>
    <row r="25" customFormat="false" ht="15" hidden="false" customHeight="true" outlineLevel="0" collapsed="false">
      <c r="A25" s="22" t="s">
        <v>287</v>
      </c>
      <c r="B25" s="22"/>
      <c r="C25" s="22"/>
      <c r="D25" s="35" t="n">
        <v>48047.04</v>
      </c>
      <c r="E25" s="36"/>
      <c r="F25" s="36"/>
      <c r="G25" s="36"/>
      <c r="H25" s="36"/>
      <c r="I25" s="36"/>
      <c r="J25" s="36"/>
    </row>
    <row r="26" customFormat="false" ht="15" hidden="false" customHeight="true" outlineLevel="0" collapsed="false">
      <c r="A26" s="22" t="s">
        <v>288</v>
      </c>
      <c r="B26" s="22"/>
      <c r="C26" s="22"/>
      <c r="D26" s="38" t="n">
        <v>0.0181402233529423</v>
      </c>
      <c r="E26" s="39" t="s">
        <v>289</v>
      </c>
      <c r="F26" s="39"/>
      <c r="G26" s="39"/>
      <c r="H26" s="39"/>
      <c r="I26" s="39"/>
      <c r="J26" s="39"/>
    </row>
    <row r="27" customFormat="false" ht="15" hidden="false" customHeight="true" outlineLevel="0" collapsed="false">
      <c r="A27" s="22" t="s">
        <v>416</v>
      </c>
      <c r="B27" s="22"/>
      <c r="C27" s="22"/>
      <c r="D27" s="35" t="n">
        <v>6392.84</v>
      </c>
      <c r="E27" s="39" t="s">
        <v>291</v>
      </c>
      <c r="F27" s="39"/>
      <c r="G27" s="39"/>
      <c r="H27" s="39"/>
      <c r="I27" s="39"/>
      <c r="J27" s="39"/>
    </row>
    <row r="28" customFormat="false" ht="15" hidden="false" customHeight="true" outlineLevel="0" collapsed="false">
      <c r="A28" s="22" t="s">
        <v>292</v>
      </c>
      <c r="B28" s="22"/>
      <c r="C28" s="22"/>
      <c r="D28" s="35" t="n">
        <v>94740.87</v>
      </c>
      <c r="E28" s="36"/>
      <c r="F28" s="36"/>
      <c r="G28" s="36"/>
      <c r="H28" s="36"/>
      <c r="I28" s="36"/>
      <c r="J28" s="36"/>
    </row>
    <row r="29" customFormat="false" ht="15" hidden="false" customHeight="true" outlineLevel="0" collapsed="false">
      <c r="A29" s="22" t="s">
        <v>293</v>
      </c>
      <c r="B29" s="22"/>
      <c r="C29" s="22"/>
      <c r="D29" s="35" t="n">
        <v>149180.75</v>
      </c>
      <c r="E29" s="36"/>
      <c r="F29" s="36"/>
      <c r="G29" s="36"/>
      <c r="H29" s="36"/>
      <c r="I29" s="36"/>
      <c r="J29" s="36"/>
    </row>
    <row r="30" customFormat="false" ht="15" hidden="false" customHeight="true" outlineLevel="0" collapsed="false">
      <c r="A30" s="22" t="s">
        <v>294</v>
      </c>
      <c r="B30" s="22"/>
      <c r="C30" s="22"/>
      <c r="D30" s="38" t="n">
        <v>0.05632338901542</v>
      </c>
      <c r="E30" s="39" t="s">
        <v>295</v>
      </c>
      <c r="F30" s="39"/>
      <c r="G30" s="39"/>
      <c r="H30" s="39"/>
      <c r="I30" s="39"/>
      <c r="J30" s="39"/>
    </row>
    <row r="31" customFormat="false" ht="27.75" hidden="false" customHeight="true" outlineLevel="0" collapsed="false">
      <c r="A31" s="40" t="s">
        <v>417</v>
      </c>
      <c r="B31" s="40"/>
      <c r="C31" s="40"/>
      <c r="D31" s="40"/>
      <c r="E31" s="40"/>
      <c r="F31" s="40"/>
      <c r="G31" s="40"/>
      <c r="H31" s="40"/>
      <c r="I31" s="40"/>
      <c r="J31" s="40"/>
    </row>
    <row r="32" customFormat="false" ht="15" hidden="false" customHeight="false" outlineLevel="0" collapsed="false">
      <c r="A32" s="41" t="s">
        <v>418</v>
      </c>
      <c r="B32" s="41"/>
      <c r="C32" s="41"/>
      <c r="D32" s="41"/>
      <c r="E32" s="41"/>
      <c r="F32" s="41"/>
      <c r="G32" s="41"/>
      <c r="H32" s="41"/>
      <c r="I32" s="41"/>
      <c r="J32" s="41"/>
    </row>
    <row r="34" customFormat="false" ht="15" hidden="false" customHeight="false" outlineLevel="0" collapsed="false">
      <c r="A34" s="25" t="s">
        <v>298</v>
      </c>
    </row>
    <row r="35" customFormat="false" ht="15" hidden="false" customHeight="true" outlineLevel="0" collapsed="false">
      <c r="A35" s="22" t="s">
        <v>299</v>
      </c>
      <c r="B35" s="22"/>
      <c r="C35" s="22"/>
      <c r="D35" s="42" t="n">
        <v>0.05</v>
      </c>
      <c r="E35" s="43" t="s">
        <v>419</v>
      </c>
      <c r="F35" s="43"/>
      <c r="G35" s="43"/>
      <c r="H35" s="43"/>
      <c r="I35" s="43"/>
      <c r="J35" s="43"/>
    </row>
    <row r="36" customFormat="false" ht="15" hidden="false" customHeight="true" outlineLevel="0" collapsed="false">
      <c r="A36" s="22" t="s">
        <v>301</v>
      </c>
      <c r="B36" s="22"/>
      <c r="C36" s="22"/>
      <c r="D36" s="34" t="s">
        <v>420</v>
      </c>
      <c r="E36" s="43" t="s">
        <v>303</v>
      </c>
      <c r="F36" s="43"/>
      <c r="G36" s="43"/>
      <c r="H36" s="43"/>
      <c r="I36" s="43"/>
      <c r="J36" s="43"/>
    </row>
    <row r="37" customFormat="false" ht="15" hidden="false" customHeight="true" outlineLevel="0" collapsed="false">
      <c r="A37" s="22" t="s">
        <v>304</v>
      </c>
      <c r="B37" s="22"/>
      <c r="C37" s="22"/>
      <c r="D37" s="35" t="n">
        <v>902482</v>
      </c>
      <c r="E37" s="43" t="s">
        <v>305</v>
      </c>
      <c r="F37" s="43"/>
      <c r="G37" s="43"/>
      <c r="H37" s="43"/>
      <c r="I37" s="43"/>
      <c r="J37" s="43"/>
    </row>
    <row r="38" customFormat="false" ht="23.85" hidden="false" customHeight="true" outlineLevel="0" collapsed="false">
      <c r="A38" s="22" t="s">
        <v>306</v>
      </c>
      <c r="B38" s="22"/>
      <c r="C38" s="22"/>
      <c r="D38" s="45" t="n">
        <f aca="false">IF(OR($D$35="",E18=""),"",IF($D$35=0,"— (no % rent)",E18/$D$35))</f>
        <v>960940.8</v>
      </c>
      <c r="E38" s="43" t="s">
        <v>307</v>
      </c>
      <c r="F38" s="43"/>
      <c r="G38" s="43"/>
      <c r="H38" s="43"/>
      <c r="I38" s="43"/>
      <c r="J38" s="43"/>
    </row>
    <row r="39" customFormat="false" ht="23.85" hidden="false" customHeight="true" outlineLevel="0" collapsed="false">
      <c r="A39" s="22" t="s">
        <v>308</v>
      </c>
      <c r="B39" s="22"/>
      <c r="C39" s="22"/>
      <c r="D39" s="45" t="n">
        <f aca="false">IF($D$35="","",IF($D$35=0,"— (no % rent)",IF($D$37&lt;&gt;"",$D$37,IF(E18="","",E18/$D$35))))</f>
        <v>902482</v>
      </c>
      <c r="E39" s="36"/>
      <c r="F39" s="36"/>
      <c r="G39" s="36"/>
      <c r="H39" s="36"/>
      <c r="I39" s="36"/>
      <c r="J39" s="36"/>
    </row>
    <row r="40" customFormat="false" ht="15" hidden="false" customHeight="true" outlineLevel="0" collapsed="false">
      <c r="A40" s="22" t="s">
        <v>309</v>
      </c>
      <c r="B40" s="22"/>
      <c r="C40" s="22"/>
      <c r="D40" s="45" t="n">
        <f aca="false">IF(OR($D$35="",D13=""),"",IF($D$35=0,0,IF($D$39="","",MAX(0,D13-$D$39)*$D$35)))</f>
        <v>87308.2275</v>
      </c>
      <c r="E40" s="36"/>
      <c r="F40" s="36"/>
      <c r="G40" s="36"/>
      <c r="H40" s="36"/>
      <c r="I40" s="36"/>
      <c r="J40" s="36"/>
    </row>
    <row r="41" customFormat="false" ht="15" hidden="false" customHeight="true" outlineLevel="0" collapsed="false">
      <c r="A41" s="22" t="s">
        <v>310</v>
      </c>
      <c r="B41" s="22"/>
      <c r="C41" s="22"/>
      <c r="D41" s="45" t="n">
        <f aca="false">IF(OR(D40="",E18=""),"",E18+D40)</f>
        <v>135355.2675</v>
      </c>
      <c r="E41" s="36"/>
      <c r="F41" s="36"/>
      <c r="G41" s="36"/>
      <c r="H41" s="36"/>
      <c r="I41" s="36"/>
      <c r="J41" s="36"/>
    </row>
    <row r="42" customFormat="false" ht="28.35" hidden="false" customHeight="true" outlineLevel="0" collapsed="false">
      <c r="A42" s="22" t="s">
        <v>311</v>
      </c>
      <c r="B42" s="22"/>
      <c r="C42" s="22"/>
      <c r="D42" s="46" t="n">
        <f aca="false">IF(OR(D41="",D13=""),"",D41/D13)</f>
        <v>0.0511035598539941</v>
      </c>
      <c r="E42" s="43" t="s">
        <v>421</v>
      </c>
      <c r="F42" s="43"/>
      <c r="G42" s="43"/>
      <c r="H42" s="43"/>
      <c r="I42" s="43"/>
      <c r="J42" s="43"/>
    </row>
    <row r="44" customFormat="false" ht="15" hidden="false" customHeight="false" outlineLevel="0" collapsed="false">
      <c r="A44" s="25" t="s">
        <v>312</v>
      </c>
    </row>
    <row r="45" customFormat="false" ht="22.35" hidden="false" customHeight="false" outlineLevel="0" collapsed="false">
      <c r="A45" s="26" t="s">
        <v>313</v>
      </c>
      <c r="B45" s="26" t="s">
        <v>314</v>
      </c>
      <c r="C45" s="26" t="s">
        <v>315</v>
      </c>
      <c r="D45" s="26" t="s">
        <v>316</v>
      </c>
      <c r="E45" s="26" t="s">
        <v>317</v>
      </c>
      <c r="F45" s="26" t="s">
        <v>318</v>
      </c>
      <c r="G45" s="26" t="s">
        <v>319</v>
      </c>
      <c r="H45" s="26" t="s">
        <v>269</v>
      </c>
      <c r="I45" s="26" t="s">
        <v>320</v>
      </c>
      <c r="J45" s="26" t="s">
        <v>321</v>
      </c>
    </row>
    <row r="46" customFormat="false" ht="22.35" hidden="false" customHeight="false" outlineLevel="0" collapsed="false">
      <c r="A46" s="48"/>
      <c r="B46" s="47" t="s">
        <v>422</v>
      </c>
      <c r="C46" s="48"/>
      <c r="D46" s="48"/>
      <c r="E46" s="48"/>
      <c r="F46" s="48"/>
      <c r="G46" s="48"/>
      <c r="H46" s="48"/>
      <c r="I46" s="48"/>
      <c r="J46" s="47" t="s">
        <v>423</v>
      </c>
    </row>
    <row r="47" customFormat="false" ht="15" hidden="false" customHeight="false" outlineLevel="0" collapsed="false">
      <c r="A47" s="52" t="s">
        <v>344</v>
      </c>
      <c r="B47" s="52"/>
      <c r="C47" s="52"/>
      <c r="D47" s="52"/>
      <c r="E47" s="52"/>
      <c r="F47" s="52"/>
      <c r="G47" s="52"/>
      <c r="H47" s="53" t="str">
        <f aca="false">IF(COUNT(H46:H46)=0,"",AVERAGE(H46:H46))</f>
        <v/>
      </c>
      <c r="I47" s="52" t="str">
        <f aca="false">IF(COUNT(H46:H46)=0,"",TEXT(MIN(H46:H46),"$#,##0")&amp;" – "&amp;TEXT(MAX(H46:H46),"$#,##0"))</f>
        <v/>
      </c>
      <c r="J47" s="36"/>
    </row>
    <row r="49" customFormat="false" ht="15" hidden="false" customHeight="false" outlineLevel="0" collapsed="false">
      <c r="A49" s="25" t="s">
        <v>345</v>
      </c>
    </row>
    <row r="50" customFormat="false" ht="53.7" hidden="false" customHeight="true" outlineLevel="0" collapsed="false">
      <c r="A50" s="26" t="s">
        <v>346</v>
      </c>
      <c r="B50" s="26"/>
      <c r="C50" s="26"/>
      <c r="D50" s="26" t="s">
        <v>347</v>
      </c>
      <c r="E50" s="26" t="s">
        <v>348</v>
      </c>
      <c r="F50" s="26" t="s">
        <v>349</v>
      </c>
      <c r="G50" s="26" t="s">
        <v>350</v>
      </c>
      <c r="H50" s="54" t="s">
        <v>351</v>
      </c>
    </row>
    <row r="51" customFormat="false" ht="158.2" hidden="false" customHeight="true" outlineLevel="0" collapsed="false">
      <c r="A51" s="22" t="s">
        <v>352</v>
      </c>
      <c r="B51" s="22"/>
      <c r="C51" s="22"/>
      <c r="D51" s="55" t="s">
        <v>424</v>
      </c>
      <c r="E51" s="55" t="s">
        <v>425</v>
      </c>
      <c r="F51" s="55" t="s">
        <v>426</v>
      </c>
      <c r="G51" s="55" t="s">
        <v>427</v>
      </c>
      <c r="H51" s="56"/>
    </row>
    <row r="52" customFormat="false" ht="15" hidden="false" customHeight="true" outlineLevel="0" collapsed="false">
      <c r="A52" s="22" t="s">
        <v>354</v>
      </c>
      <c r="B52" s="22"/>
      <c r="C52" s="22"/>
      <c r="D52" s="57" t="n">
        <v>140000</v>
      </c>
      <c r="E52" s="57" t="n">
        <v>140000</v>
      </c>
      <c r="F52" s="57" t="n">
        <v>150000</v>
      </c>
      <c r="G52" s="57" t="n">
        <v>135000</v>
      </c>
      <c r="H52" s="57"/>
    </row>
    <row r="53" customFormat="false" ht="15" hidden="false" customHeight="true" outlineLevel="0" collapsed="false">
      <c r="A53" s="22" t="s">
        <v>355</v>
      </c>
      <c r="B53" s="22"/>
      <c r="C53" s="22"/>
      <c r="D53" s="82" t="n">
        <v>0.1</v>
      </c>
      <c r="E53" s="58" t="n">
        <v>0.02</v>
      </c>
      <c r="F53" s="58" t="n">
        <v>0.03</v>
      </c>
      <c r="G53" s="58" t="n">
        <v>0.1</v>
      </c>
      <c r="H53" s="58"/>
    </row>
    <row r="54" customFormat="false" ht="15" hidden="false" customHeight="true" outlineLevel="0" collapsed="false">
      <c r="A54" s="22" t="s">
        <v>356</v>
      </c>
      <c r="B54" s="22"/>
      <c r="C54" s="22"/>
      <c r="D54" s="56" t="n">
        <v>5</v>
      </c>
      <c r="E54" s="56" t="n">
        <v>1</v>
      </c>
      <c r="F54" s="56" t="n">
        <v>1</v>
      </c>
      <c r="G54" s="56" t="n">
        <v>5</v>
      </c>
      <c r="H54" s="56"/>
    </row>
    <row r="55" customFormat="false" ht="15" hidden="false" customHeight="true" outlineLevel="0" collapsed="false">
      <c r="A55" s="22" t="s">
        <v>357</v>
      </c>
      <c r="B55" s="22"/>
      <c r="C55" s="22"/>
      <c r="D55" s="59" t="n">
        <v>20</v>
      </c>
      <c r="E55" s="59" t="n">
        <v>20</v>
      </c>
      <c r="F55" s="59" t="n">
        <v>20</v>
      </c>
      <c r="G55" s="59" t="n">
        <v>15</v>
      </c>
      <c r="H55" s="59"/>
    </row>
    <row r="56" customFormat="false" ht="15" hidden="false" customHeight="true" outlineLevel="0" collapsed="false">
      <c r="A56" s="22" t="s">
        <v>358</v>
      </c>
      <c r="B56" s="22"/>
      <c r="C56" s="22"/>
      <c r="D56" s="60" t="n">
        <f aca="false">IF(OR(D52="",E18=""),"",D52-E18)</f>
        <v>91952.96</v>
      </c>
      <c r="E56" s="60" t="n">
        <f aca="false">IF(OR(E52="",E18=""),"",E52-E18)</f>
        <v>91952.96</v>
      </c>
      <c r="F56" s="60" t="n">
        <f aca="false">IF(OR(F52="",E18=""),"",F52-E18)</f>
        <v>101952.96</v>
      </c>
      <c r="G56" s="60" t="n">
        <f aca="false">IF(OR(G52="",E18=""),"",G52-E18)</f>
        <v>86952.96</v>
      </c>
      <c r="H56" s="60" t="str">
        <f aca="false">IF(OR(H52="",E18=""),"",H52-E18)</f>
        <v/>
      </c>
    </row>
    <row r="57" customFormat="false" ht="15" hidden="false" customHeight="true" outlineLevel="0" collapsed="false">
      <c r="A57" s="22" t="s">
        <v>359</v>
      </c>
      <c r="B57" s="22"/>
      <c r="C57" s="22"/>
      <c r="D57" s="61" t="n">
        <f aca="false">IF(OR(D52="",E18=""),"",(D52-E18)/E18)</f>
        <v>1.91381113175754</v>
      </c>
      <c r="E57" s="61" t="n">
        <f aca="false">IF(OR(E52="",E18=""),"",(E52-E18)/E18)</f>
        <v>1.91381113175754</v>
      </c>
      <c r="F57" s="61" t="n">
        <f aca="false">IF(OR(F52="",E18=""),"",(F52-E18)/E18)</f>
        <v>2.12194049831165</v>
      </c>
      <c r="G57" s="61" t="n">
        <f aca="false">IF(OR(G52="",E18=""),"",(G52-E18)/E18)</f>
        <v>1.80974644848049</v>
      </c>
      <c r="H57" s="61" t="str">
        <f aca="false">IF(OR(H52="",E18=""),"",(H52-E18)/E18)</f>
        <v/>
      </c>
    </row>
    <row r="58" customFormat="false" ht="15" hidden="false" customHeight="true" outlineLevel="0" collapsed="false">
      <c r="A58" s="22" t="s">
        <v>360</v>
      </c>
      <c r="B58" s="22"/>
      <c r="C58" s="22"/>
      <c r="D58" s="62" t="n">
        <f aca="false">IF(OR(D52="",D13=""),"",D52/D13)</f>
        <v>0.0528571847383714</v>
      </c>
      <c r="E58" s="62" t="n">
        <f aca="false">IF(OR(E52="",D13=""),"",E52/D13)</f>
        <v>0.0528571847383714</v>
      </c>
      <c r="F58" s="62" t="n">
        <f aca="false">IF(OR(F52="",D13=""),"",F52/D13)</f>
        <v>0.0566326979339693</v>
      </c>
      <c r="G58" s="62" t="n">
        <f aca="false">IF(OR(G52="",D13=""),"",G52/D13)</f>
        <v>0.0509694281405724</v>
      </c>
      <c r="H58" s="62" t="str">
        <f aca="false">IF(OR(H52="",D13=""),"",H52/D13)</f>
        <v/>
      </c>
    </row>
    <row r="59" customFormat="false" ht="15" hidden="false" customHeight="true" outlineLevel="0" collapsed="false">
      <c r="A59" s="22" t="s">
        <v>361</v>
      </c>
      <c r="B59" s="22"/>
      <c r="C59" s="22"/>
      <c r="D59" s="61" t="str">
        <f aca="false">IF(OR(D52="",H47=""),"",(D52-H47)/H47)</f>
        <v/>
      </c>
      <c r="E59" s="61" t="str">
        <f aca="false">IF(OR(E52="",H47=""),"",(E52-H47)/H47)</f>
        <v/>
      </c>
      <c r="F59" s="61" t="str">
        <f aca="false">IF(OR(F52="",H47=""),"",(F52-H47)/H47)</f>
        <v/>
      </c>
      <c r="G59" s="61" t="str">
        <f aca="false">IF(OR(G52="",H47=""),"",(G52-H47)/H47)</f>
        <v/>
      </c>
      <c r="H59" s="61" t="str">
        <f aca="false">IF(OR(H52="",H47=""),"",(H52-H47)/H47)</f>
        <v/>
      </c>
    </row>
    <row r="60" customFormat="false" ht="15" hidden="false" customHeight="true" outlineLevel="0" collapsed="false">
      <c r="A60" s="22" t="s">
        <v>362</v>
      </c>
      <c r="B60" s="22"/>
      <c r="C60" s="22"/>
      <c r="D60" s="63" t="n">
        <f aca="true">IF(D52="","",SUMPRODUCT(D52*(1+IF(D53="",0,D53))^ROUNDDOWN((ROW(INDIRECT("1:10"))-1)/IF(D54="",5,D54),0)))</f>
        <v>1470000</v>
      </c>
      <c r="E60" s="63" t="n">
        <f aca="true">IF(E52="","",SUMPRODUCT(E52*(1+IF(E53="",0,E53))^ROUNDDOWN((ROW(INDIRECT("1:10"))-1)/IF(E54="",5,E54),0)))</f>
        <v>1532960.9399633</v>
      </c>
      <c r="F60" s="63" t="n">
        <f aca="true">IF(F52="","",SUMPRODUCT(F52*(1+IF(F53="",0,F53))^ROUNDDOWN((ROW(INDIRECT("1:10"))-1)/IF(F54="",5,F54),0)))</f>
        <v>1719581.89672061</v>
      </c>
      <c r="G60" s="63" t="n">
        <f aca="true">IF(G52="","",SUMPRODUCT(G52*(1+IF(G53="",0,G53))^ROUNDDOWN((ROW(INDIRECT("1:10"))-1)/IF(G54="",5,G54),0)))</f>
        <v>1417500</v>
      </c>
      <c r="H60" s="63" t="str">
        <f aca="true">IF(H52="","",SUMPRODUCT(H52*(1+IF(H53="",0,H53))^ROUNDDOWN((ROW(INDIRECT("1:10"))-1)/IF(H54="",5,H54),0)))</f>
        <v/>
      </c>
    </row>
    <row r="61" customFormat="false" ht="15" hidden="false" customHeight="true" outlineLevel="0" collapsed="false">
      <c r="A61" s="22" t="s">
        <v>363</v>
      </c>
      <c r="B61" s="22"/>
      <c r="C61" s="22"/>
      <c r="D61" s="60" t="n">
        <f aca="false">IF(OR(D60="",E21=""),"",D60-E21)</f>
        <v>957336.48</v>
      </c>
      <c r="E61" s="60" t="n">
        <f aca="false">IF(OR(E60="",E21=""),"",E60-E21)</f>
        <v>1020297.4199633</v>
      </c>
      <c r="F61" s="60" t="n">
        <f aca="false">IF(OR(F60="",E21=""),"",F60-E21)</f>
        <v>1206918.37672061</v>
      </c>
      <c r="G61" s="60" t="n">
        <f aca="false">IF(OR(G60="",E21=""),"",G60-E21)</f>
        <v>904836.48</v>
      </c>
      <c r="H61" s="60" t="str">
        <f aca="false">IF(OR(H60="",E21=""),"",H60-E21)</f>
        <v/>
      </c>
    </row>
    <row r="62" customFormat="false" ht="23.85" hidden="false" customHeight="true" outlineLevel="0" collapsed="false">
      <c r="A62" s="22" t="s">
        <v>364</v>
      </c>
      <c r="B62" s="22"/>
      <c r="C62" s="22"/>
      <c r="D62" s="58"/>
      <c r="E62" s="58"/>
      <c r="F62" s="58"/>
      <c r="G62" s="58" t="n">
        <v>0</v>
      </c>
      <c r="H62" s="58"/>
    </row>
    <row r="63" customFormat="false" ht="23.85" hidden="false" customHeight="true" outlineLevel="0" collapsed="false">
      <c r="A63" s="22" t="s">
        <v>365</v>
      </c>
      <c r="B63" s="22"/>
      <c r="C63" s="22"/>
      <c r="D63" s="57" t="n">
        <v>3200000</v>
      </c>
      <c r="E63" s="57" t="n">
        <v>3200000</v>
      </c>
      <c r="F63" s="57" t="n">
        <v>3000000</v>
      </c>
      <c r="G63" s="57"/>
      <c r="H63" s="57"/>
    </row>
    <row r="64" customFormat="false" ht="15" hidden="false" customHeight="true" outlineLevel="0" collapsed="false">
      <c r="A64" s="22" t="s">
        <v>366</v>
      </c>
      <c r="B64" s="22"/>
      <c r="C64" s="22"/>
      <c r="D64" s="63" t="n">
        <f aca="false">IF(OR(D52="",AND(D62="",$D$35="")),"",IF(IF(D62="",IF($D$35="",0,$D$35),D62)=0,"— (% rent removed)",IF(D63&lt;&gt;"",D63,IF($D$37&lt;&gt;"",$D$37,D52/IF(D62="",IF($D$35="",0,$D$35),D62)))))</f>
        <v>3200000</v>
      </c>
      <c r="E64" s="63" t="n">
        <f aca="false">IF(OR(E52="",AND(E62="",$D$35="")),"",IF(IF(E62="",IF($D$35="",0,$D$35),E62)=0,"— (% rent removed)",IF(E63&lt;&gt;"",E63,IF($D$37&lt;&gt;"",$D$37,E52/IF(E62="",IF($D$35="",0,$D$35),E62)))))</f>
        <v>3200000</v>
      </c>
      <c r="F64" s="63" t="n">
        <f aca="false">IF(OR(F52="",AND(F62="",$D$35="")),"",IF(IF(F62="",IF($D$35="",0,$D$35),F62)=0,"— (% rent removed)",IF(F63&lt;&gt;"",F63,IF($D$37&lt;&gt;"",$D$37,F52/IF(F62="",IF($D$35="",0,$D$35),F62)))))</f>
        <v>3000000</v>
      </c>
      <c r="G64" s="63" t="str">
        <f aca="false">IF(OR(G52="",AND(G62="",$D$35="")),"",IF(IF(G62="",IF($D$35="",0,$D$35),G62)=0,"— (% rent removed)",IF(G63&lt;&gt;"",G63,IF($D$37&lt;&gt;"",$D$37,G52/IF(G62="",IF($D$35="",0,$D$35),G62)))))</f>
        <v>— (% rent removed)</v>
      </c>
      <c r="H64" s="63" t="str">
        <f aca="false">IF(OR(H52="",AND(H62="",$D$35="")),"",IF(IF(H62="",IF($D$35="",0,$D$35),H62)=0,"— (% rent removed)",IF(H63&lt;&gt;"",H63,IF($D$37&lt;&gt;"",$D$37,H52/IF(H62="",IF($D$35="",0,$D$35),H62)))))</f>
        <v/>
      </c>
    </row>
    <row r="65" customFormat="false" ht="15" hidden="false" customHeight="true" outlineLevel="0" collapsed="false">
      <c r="A65" s="22" t="s">
        <v>367</v>
      </c>
      <c r="B65" s="22"/>
      <c r="C65" s="22"/>
      <c r="D65" s="63" t="n">
        <f aca="false">IF(OR(D52="",AND(D62="",$D$35=""),D13=""),"",IF(IF(D62="",IF($D$35="",0,$D$35),D62)=0,0,MAX(0,D13-D64)*IF(D62="",IF($D$35="",0,$D$35),D62)))</f>
        <v>0</v>
      </c>
      <c r="E65" s="63" t="n">
        <f aca="false">IF(OR(E52="",AND(E62="",$D$35=""),D13=""),"",IF(IF(E62="",IF($D$35="",0,$D$35),E62)=0,0,MAX(0,D13-E64)*IF(E62="",IF($D$35="",0,$D$35),E62)))</f>
        <v>0</v>
      </c>
      <c r="F65" s="63" t="n">
        <f aca="false">IF(OR(F52="",AND(F62="",$D$35=""),D13=""),"",IF(IF(F62="",IF($D$35="",0,$D$35),F62)=0,0,MAX(0,D13-F64)*IF(F62="",IF($D$35="",0,$D$35),F62)))</f>
        <v>0</v>
      </c>
      <c r="G65" s="63" t="n">
        <f aca="false">IF(OR(G52="",AND(G62="",$D$35=""),D13=""),"",IF(IF(G62="",IF($D$35="",0,$D$35),G62)=0,0,MAX(0,D13-G64)*IF(G62="",IF($D$35="",0,$D$35),G62)))</f>
        <v>0</v>
      </c>
      <c r="H65" s="63" t="str">
        <f aca="false">IF(OR(H52="",AND(H62="",$D$35=""),D13=""),"",IF(IF(H62="",IF($D$35="",0,$D$35),H62)=0,0,MAX(0,D13-H64)*IF(H62="",IF($D$35="",0,$D$35),H62)))</f>
        <v/>
      </c>
    </row>
    <row r="66" customFormat="false" ht="15" hidden="false" customHeight="true" outlineLevel="0" collapsed="false">
      <c r="A66" s="22" t="s">
        <v>368</v>
      </c>
      <c r="B66" s="22"/>
      <c r="C66" s="22"/>
      <c r="D66" s="63" t="n">
        <f aca="false">IF(OR(D52="",D65=""),"",D52+D65)</f>
        <v>140000</v>
      </c>
      <c r="E66" s="63" t="n">
        <f aca="false">IF(OR(E52="",E65=""),"",E52+E65)</f>
        <v>140000</v>
      </c>
      <c r="F66" s="63" t="n">
        <f aca="false">IF(OR(F52="",F65=""),"",F52+F65)</f>
        <v>150000</v>
      </c>
      <c r="G66" s="63" t="n">
        <f aca="false">IF(OR(G52="",G65=""),"",G52+G65)</f>
        <v>135000</v>
      </c>
      <c r="H66" s="63" t="str">
        <f aca="false">IF(OR(H52="",H65=""),"",H52+H65)</f>
        <v/>
      </c>
    </row>
    <row r="67" customFormat="false" ht="15" hidden="false" customHeight="true" outlineLevel="0" collapsed="false">
      <c r="A67" s="22" t="s">
        <v>369</v>
      </c>
      <c r="B67" s="22"/>
      <c r="C67" s="22"/>
      <c r="D67" s="62" t="n">
        <f aca="false">IF(OR(D66="",D13=""),"",D66/D13)</f>
        <v>0.0528571847383714</v>
      </c>
      <c r="E67" s="62" t="n">
        <f aca="false">IF(OR(E66="",D13=""),"",E66/D13)</f>
        <v>0.0528571847383714</v>
      </c>
      <c r="F67" s="62" t="n">
        <f aca="false">IF(OR(F66="",D13=""),"",F66/D13)</f>
        <v>0.0566326979339693</v>
      </c>
      <c r="G67" s="62" t="n">
        <f aca="false">IF(OR(G66="",D13=""),"",G66/D13)</f>
        <v>0.0509694281405724</v>
      </c>
      <c r="H67" s="62" t="str">
        <f aca="false">IF(OR(H66="",D13=""),"",H66/D13)</f>
        <v/>
      </c>
    </row>
    <row r="68" customFormat="false" ht="23.85" hidden="false" customHeight="true" outlineLevel="0" collapsed="false">
      <c r="A68" s="22" t="s">
        <v>370</v>
      </c>
      <c r="B68" s="22"/>
      <c r="C68" s="22"/>
      <c r="D68" s="64" t="n">
        <f aca="false">IF(D66="","",(853033.77-D66)/2648646.55)</f>
        <v>0.269206840754196</v>
      </c>
      <c r="E68" s="64" t="n">
        <f aca="false">IF(E66="","",(853033.77-E66)/2648646.55)</f>
        <v>0.269206840754196</v>
      </c>
      <c r="F68" s="64" t="n">
        <f aca="false">IF(F66="","",(853033.77-F66)/2648646.55)</f>
        <v>0.265431327558598</v>
      </c>
      <c r="G68" s="64" t="n">
        <f aca="false">IF(G66="","",(853033.77-G66)/2648646.55)</f>
        <v>0.271094597351995</v>
      </c>
      <c r="H68" s="64" t="str">
        <f aca="false">IF(H66="","",(853033.77-H66)/2648646.55)</f>
        <v/>
      </c>
    </row>
    <row r="69" customFormat="false" ht="15" hidden="false" customHeight="true" outlineLevel="0" collapsed="false">
      <c r="A69" s="22" t="s">
        <v>371</v>
      </c>
      <c r="B69" s="22"/>
      <c r="C69" s="22"/>
      <c r="D69" s="63" t="n">
        <f aca="true">IF(OR(D52="",AND(D62="",$D$35=""),D13=""),"",IF(IF(D62="",IF($D$35="",0,$D$35),D62)=0,0,SUMPRODUCT(((D13*1.02^(ROW(INDIRECT("1:10"))-1))-(IF(D63&lt;&gt;"",D63,IF($D$37&lt;&gt;"",$D$37,(D52*(1+IF(D53="",0,D53))^ROUNDDOWN((ROW(INDIRECT("1:10"))-1)/IF(D54="",5,D54),0))/IF(D62="",IF($D$35="",0,$D$35),D62))))&gt;0)*((D13*1.02^(ROW(INDIRECT("1:10"))-1))-(IF(D63&lt;&gt;"",D63,IF($D$37&lt;&gt;"",$D$37,(D52*(1+IF(D53="",0,D53))^ROUNDDOWN((ROW(INDIRECT("1:10"))-1)/IF(D54="",5,D54),0))/IF(D62="",IF($D$35="",0,$D$35),D62))))))*IF(D62="",IF($D$35="",0,$D$35),D62)))</f>
        <v>0</v>
      </c>
      <c r="E69" s="63" t="n">
        <f aca="true">IF(OR(E52="",AND(E62="",$D$35=""),D13=""),"",IF(IF(E62="",IF($D$35="",0,$D$35),E62)=0,0,SUMPRODUCT(((D13*1.02^(ROW(INDIRECT("1:10"))-1))-(IF(E63&lt;&gt;"",E63,IF($D$37&lt;&gt;"",$D$37,(E52*(1+IF(E53="",0,E53))^ROUNDDOWN((ROW(INDIRECT("1:10"))-1)/IF(E54="",5,E54),0))/IF(E62="",IF($D$35="",0,$D$35),E62))))&gt;0)*((D13*1.02^(ROW(INDIRECT("1:10"))-1))-(IF(E63&lt;&gt;"",E63,IF($D$37&lt;&gt;"",$D$37,(E52*(1+IF(E53="",0,E53))^ROUNDDOWN((ROW(INDIRECT("1:10"))-1)/IF(E54="",5,E54),0))/IF(E62="",IF($D$35="",0,$D$35),E62))))))*IF(E62="",IF($D$35="",0,$D$35),E62)))</f>
        <v>0</v>
      </c>
      <c r="F69" s="63" t="n">
        <f aca="true">IF(OR(F52="",AND(F62="",$D$35=""),D13=""),"",IF(IF(F62="",IF($D$35="",0,$D$35),F62)=0,0,SUMPRODUCT(((D13*1.02^(ROW(INDIRECT("1:10"))-1))-(IF(F63&lt;&gt;"",F63,IF($D$37&lt;&gt;"",$D$37,(F52*(1+IF(F53="",0,F53))^ROUNDDOWN((ROW(INDIRECT("1:10"))-1)/IF(F54="",5,F54),0))/IF(F62="",IF($D$35="",0,$D$35),F62))))&gt;0)*((D13*1.02^(ROW(INDIRECT("1:10"))-1))-(IF(F63&lt;&gt;"",F63,IF($D$37&lt;&gt;"",$D$37,(F52*(1+IF(F53="",0,F53))^ROUNDDOWN((ROW(INDIRECT("1:10"))-1)/IF(F54="",5,F54),0))/IF(F62="",IF($D$35="",0,$D$35),F62))))))*IF(F62="",IF($D$35="",0,$D$35),F62)))</f>
        <v>15557.5858366311</v>
      </c>
      <c r="G69" s="63" t="n">
        <f aca="true">IF(OR(G52="",AND(G62="",$D$35=""),D13=""),"",IF(IF(G62="",IF($D$35="",0,$D$35),G62)=0,0,SUMPRODUCT(((D13*1.02^(ROW(INDIRECT("1:10"))-1))-(IF(G63&lt;&gt;"",G63,IF($D$37&lt;&gt;"",$D$37,(G52*(1+IF(G53="",0,G53))^ROUNDDOWN((ROW(INDIRECT("1:10"))-1)/IF(G54="",5,G54),0))/IF(G62="",IF($D$35="",0,$D$35),G62))))&gt;0)*((D13*1.02^(ROW(INDIRECT("1:10"))-1))-(IF(G63&lt;&gt;"",G63,IF($D$37&lt;&gt;"",$D$37,(G52*(1+IF(G53="",0,G53))^ROUNDDOWN((ROW(INDIRECT("1:10"))-1)/IF(G54="",5,G54),0))/IF(G62="",IF($D$35="",0,$D$35),G62))))))*IF(G62="",IF($D$35="",0,$D$35),G62)))</f>
        <v>0</v>
      </c>
      <c r="H69" s="63" t="str">
        <f aca="true">IF(OR(H52="",AND(H62="",$D$35=""),D13=""),"",IF(IF(H62="",IF($D$35="",0,$D$35),H62)=0,0,SUMPRODUCT(((D13*1.02^(ROW(INDIRECT("1:10"))-1))-(IF(H63&lt;&gt;"",H63,IF($D$37&lt;&gt;"",$D$37,(H52*(1+IF(H53="",0,H53))^ROUNDDOWN((ROW(INDIRECT("1:10"))-1)/IF(H54="",5,H54),0))/IF(H62="",IF($D$35="",0,$D$35),H62))))&gt;0)*((D13*1.02^(ROW(INDIRECT("1:10"))-1))-(IF(H63&lt;&gt;"",H63,IF($D$37&lt;&gt;"",$D$37,(H52*(1+IF(H53="",0,H53))^ROUNDDOWN((ROW(INDIRECT("1:10"))-1)/IF(H54="",5,H54),0))/IF(H62="",IF($D$35="",0,$D$35),H62))))))*IF(H62="",IF($D$35="",0,$D$35),H62)))</f>
        <v/>
      </c>
    </row>
    <row r="70" customFormat="false" ht="15" hidden="false" customHeight="true" outlineLevel="0" collapsed="false">
      <c r="A70" s="22" t="s">
        <v>372</v>
      </c>
      <c r="B70" s="22"/>
      <c r="C70" s="22"/>
      <c r="D70" s="63" t="n">
        <f aca="false">IF(OR(D60="",D69=""),"",D60+D69)</f>
        <v>1470000</v>
      </c>
      <c r="E70" s="63" t="n">
        <f aca="false">IF(OR(E60="",E69=""),"",E60+E69)</f>
        <v>1532960.9399633</v>
      </c>
      <c r="F70" s="63" t="n">
        <f aca="false">IF(OR(F60="",F69=""),"",F60+F69)</f>
        <v>1735139.48255724</v>
      </c>
      <c r="G70" s="63" t="n">
        <f aca="false">IF(OR(G60="",G69=""),"",G60+G69)</f>
        <v>1417500</v>
      </c>
      <c r="H70" s="63" t="str">
        <f aca="false">IF(OR(H60="",H69=""),"",H60+H69)</f>
        <v/>
      </c>
    </row>
    <row r="71" customFormat="false" ht="23.85" hidden="false" customHeight="true" outlineLevel="0" collapsed="false">
      <c r="A71" s="22" t="s">
        <v>373</v>
      </c>
      <c r="B71" s="22"/>
      <c r="C71" s="22"/>
      <c r="D71" s="65" t="n">
        <f aca="true">IF(D52="","",SUMPRODUCT(D52*(1+IF(D53="",0,D53))^ROUNDDOWN((ROW(INDIRECT("1:"&amp;IF(D55="",10,D55)))-1)/IF(D54="",5,D54),0))+IF(OR(D13="",IF(D62="",IF($D$35="",0,$D$35),D62)=0),0,SUMPRODUCT(((D13*1.02^(ROW(INDIRECT("1:"&amp;IF(D55="",10,D55)))-1))-(IF(D63&lt;&gt;"",D63,IF($D$37&lt;&gt;"",$D$37,(D52*(1+IF(D53="",0,D53))^ROUNDDOWN((ROW(INDIRECT("1:"&amp;IF(D55="",10,D55)))-1)/IF(D54="",5,D54),0))/IF(D62="",IF($D$35="",0,$D$35),D62))))&gt;0)*((D13*1.02^(ROW(INDIRECT("1:"&amp;IF(D55="",10,D55)))-1))-(IF(D63&lt;&gt;"",D63,IF($D$37&lt;&gt;"",$D$37,(D52*(1+IF(D53="",0,D53))^ROUNDDOWN((ROW(INDIRECT("1:"&amp;IF(D55="",10,D55)))-1)/IF(D54="",5,D54),0))/IF(D62="",IF($D$35="",0,$D$35),D62))))))*IF(D62="",IF($D$35="",0,$D$35),D62)))</f>
        <v>3416360.19712797</v>
      </c>
      <c r="E71" s="65" t="n">
        <f aca="true">IF(E52="","",SUMPRODUCT(E52*(1+IF(E53="",0,E53))^ROUNDDOWN((ROW(INDIRECT("1:"&amp;IF(E55="",10,E55)))-1)/IF(E54="",5,E54),0))+IF(OR(D13="",IF(E62="",IF($D$35="",0,$D$35),E62)=0),0,SUMPRODUCT(((D13*1.02^(ROW(INDIRECT("1:"&amp;IF(E55="",10,E55)))-1))-(IF(E63&lt;&gt;"",E63,IF($D$37&lt;&gt;"",$D$37,(E52*(1+IF(E53="",0,E53))^ROUNDDOWN((ROW(INDIRECT("1:"&amp;IF(E55="",10,E55)))-1)/IF(E54="",5,E54),0))/IF(E62="",IF($D$35="",0,$D$35),E62))))&gt;0)*((D13*1.02^(ROW(INDIRECT("1:"&amp;IF(E55="",10,E55)))-1))-(IF(E63&lt;&gt;"",E63,IF($D$37&lt;&gt;"",$D$37,(E52*(1+IF(E53="",0,E53))^ROUNDDOWN((ROW(INDIRECT("1:"&amp;IF(E55="",10,E55)))-1)/IF(E54="",5,E54),0))/IF(E62="",IF($D$35="",0,$D$35),E62))))))*IF(E62="",IF($D$35="",0,$D$35),E62)))</f>
        <v>3569291.96897645</v>
      </c>
      <c r="F71" s="65" t="n">
        <f aca="true">IF(F52="","",SUMPRODUCT(F52*(1+IF(F53="",0,F53))^ROUNDDOWN((ROW(INDIRECT("1:"&amp;IF(F55="",10,F55)))-1)/IF(F54="",5,F54),0))+IF(OR(D13="",IF(F62="",IF($D$35="",0,$D$35),F62)=0),0,SUMPRODUCT(((D13*1.02^(ROW(INDIRECT("1:"&amp;IF(F55="",10,F55)))-1))-(IF(F63&lt;&gt;"",F63,IF($D$37&lt;&gt;"",$D$37,(F52*(1+IF(F53="",0,F53))^ROUNDDOWN((ROW(INDIRECT("1:"&amp;IF(F55="",10,F55)))-1)/IF(F54="",5,F54),0))/IF(F62="",IF($D$35="",0,$D$35),F62))))&gt;0)*((D13*1.02^(ROW(INDIRECT("1:"&amp;IF(F55="",10,F55)))-1))-(IF(F63&lt;&gt;"",F63,IF($D$37&lt;&gt;"",$D$37,(F52*(1+IF(F53="",0,F53))^ROUNDDOWN((ROW(INDIRECT("1:"&amp;IF(F55="",10,F55)))-1)/IF(F54="",5,F54),0))/IF(F62="",IF($D$35="",0,$D$35),F62))))))*IF(F62="",IF($D$35="",0,$D$35),F62)))</f>
        <v>4313773.95631167</v>
      </c>
      <c r="G71" s="65" t="n">
        <f aca="true">IF(G52="","",SUMPRODUCT(G52*(1+IF(G53="",0,G53))^ROUNDDOWN((ROW(INDIRECT("1:"&amp;IF(G55="",10,G55)))-1)/IF(G54="",5,G54),0))+IF(OR(D13="",IF(G62="",IF($D$35="",0,$D$35),G62)=0),0,SUMPRODUCT(((D13*1.02^(ROW(INDIRECT("1:"&amp;IF(G55="",10,G55)))-1))-(IF(G63&lt;&gt;"",G63,IF($D$37&lt;&gt;"",$D$37,(G52*(1+IF(G53="",0,G53))^ROUNDDOWN((ROW(INDIRECT("1:"&amp;IF(G55="",10,G55)))-1)/IF(G54="",5,G54),0))/IF(G62="",IF($D$35="",0,$D$35),G62))))&gt;0)*((D13*1.02^(ROW(INDIRECT("1:"&amp;IF(G55="",10,G55)))-1))-(IF(G63&lt;&gt;"",G63,IF($D$37&lt;&gt;"",$D$37,(G52*(1+IF(G53="",0,G53))^ROUNDDOWN((ROW(INDIRECT("1:"&amp;IF(G55="",10,G55)))-1)/IF(G54="",5,G54),0))/IF(G62="",IF($D$35="",0,$D$35),G62))))))*IF(G62="",IF($D$35="",0,$D$35),G62)))</f>
        <v>2234250</v>
      </c>
      <c r="H71" s="65" t="str">
        <f aca="true">IF(H52="","",SUMPRODUCT(H52*(1+IF(H53="",0,H53))^ROUNDDOWN((ROW(INDIRECT("1:"&amp;IF(H55="",10,H55)))-1)/IF(H54="",5,H54),0))+IF(OR(D13="",IF(H62="",IF($D$35="",0,$D$35),H62)=0),0,SUMPRODUCT(((D13*1.02^(ROW(INDIRECT("1:"&amp;IF(H55="",10,H55)))-1))-(IF(H63&lt;&gt;"",H63,IF($D$37&lt;&gt;"",$D$37,(H52*(1+IF(H53="",0,H53))^ROUNDDOWN((ROW(INDIRECT("1:"&amp;IF(H55="",10,H55)))-1)/IF(H54="",5,H54),0))/IF(H62="",IF($D$35="",0,$D$35),H62))))&gt;0)*((D13*1.02^(ROW(INDIRECT("1:"&amp;IF(H55="",10,H55)))-1))-(IF(H63&lt;&gt;"",H63,IF($D$37&lt;&gt;"",$D$37,(H52*(1+IF(H53="",0,H53))^ROUNDDOWN((ROW(INDIRECT("1:"&amp;IF(H55="",10,H55)))-1)/IF(H54="",5,H54),0))/IF(H62="",IF($D$35="",0,$D$35),H62))))))*IF(H62="",IF($D$35="",0,$D$35),H62)))</f>
        <v/>
      </c>
    </row>
    <row r="72" customFormat="false" ht="15" hidden="false" customHeight="true" outlineLevel="0" collapsed="false">
      <c r="A72" s="22" t="s">
        <v>374</v>
      </c>
      <c r="B72" s="22"/>
      <c r="C72" s="22"/>
      <c r="D72" s="62" t="n">
        <f aca="false">IF(D52="","",IF(D53="",0,(1+D53)^(5/IF(D54="",5,D54))-1))</f>
        <v>0.1</v>
      </c>
      <c r="E72" s="62" t="n">
        <f aca="false">IF(E52="","",IF(E53="",0,(1+E53)^(5/IF(E54="",5,E54))-1))</f>
        <v>0.1040808032</v>
      </c>
      <c r="F72" s="62" t="n">
        <f aca="false">IF(F52="","",IF(F53="",0,(1+F53)^(5/IF(F54="",5,F54))-1))</f>
        <v>0.1592740743</v>
      </c>
      <c r="G72" s="62" t="n">
        <f aca="false">IF(G52="","",IF(G53="",0,(1+G53)^(5/IF(G54="",5,G54))-1))</f>
        <v>0.1</v>
      </c>
      <c r="H72" s="62" t="str">
        <f aca="false">IF(H52="","",IF(H53="",0,(1+H53)^(5/IF(H54="",5,H54))-1))</f>
        <v/>
      </c>
    </row>
    <row r="73" customFormat="false" ht="53.7" hidden="false" customHeight="true" outlineLevel="0" collapsed="false">
      <c r="A73" s="22" t="s">
        <v>375</v>
      </c>
      <c r="B73" s="22"/>
      <c r="C73" s="22"/>
      <c r="D73" s="66" t="str">
        <f aca="false">IF(D72="","",IF(D72&lt;=0,"REDUCTION / FLAT — ladder steps 1-2 (best)",IF(D72&lt;=0.08,"OK — within 8%/5-yr in-house authority (ladder step 3)","ABOVE 8%/5-yr — CEO SIGN-OFF REQUIRED (Rob 8/5/26)")))</f>
        <v>ABOVE 8%/5-yr — CEO SIGN-OFF REQUIRED (Rob 8/5/26)</v>
      </c>
      <c r="E73" s="66" t="str">
        <f aca="false">IF(E72="","",IF(E72&lt;=0,"REDUCTION / FLAT — ladder steps 1-2 (best)",IF(E72&lt;=0.08,"OK — within 8%/5-yr in-house authority (ladder step 3)","ABOVE 8%/5-yr — CEO SIGN-OFF REQUIRED (Rob 8/5/26)")))</f>
        <v>ABOVE 8%/5-yr — CEO SIGN-OFF REQUIRED (Rob 8/5/26)</v>
      </c>
      <c r="F73" s="66" t="str">
        <f aca="false">IF(F72="","",IF(F72&lt;=0,"REDUCTION / FLAT — ladder steps 1-2 (best)",IF(F72&lt;=0.08,"OK — within 8%/5-yr in-house authority (ladder step 3)","ABOVE 8%/5-yr — CEO SIGN-OFF REQUIRED (Rob 8/5/26)")))</f>
        <v>ABOVE 8%/5-yr — CEO SIGN-OFF REQUIRED (Rob 8/5/26)</v>
      </c>
      <c r="G73" s="66" t="str">
        <f aca="false">IF(G72="","",IF(G72&lt;=0,"REDUCTION / FLAT — ladder steps 1-2 (best)",IF(G72&lt;=0.08,"OK — within 8%/5-yr in-house authority (ladder step 3)","ABOVE 8%/5-yr — CEO SIGN-OFF REQUIRED (Rob 8/5/26)")))</f>
        <v>ABOVE 8%/5-yr — CEO SIGN-OFF REQUIRED (Rob 8/5/26)</v>
      </c>
      <c r="H73" s="66" t="str">
        <f aca="false">IF(H72="","",IF(H72&lt;=0,"REDUCTION / FLAT — ladder steps 1-2 (best)",IF(H72&lt;=0.08,"OK — within 8%/5-yr in-house authority (ladder step 3)","ABOVE 8%/5-yr — CEO SIGN-OFF REQUIRED (Rob 8/5/26)")))</f>
        <v/>
      </c>
    </row>
    <row r="74" customFormat="false" ht="23.85" hidden="false" customHeight="true" outlineLevel="0" collapsed="false">
      <c r="A74" s="22" t="s">
        <v>376</v>
      </c>
      <c r="B74" s="22"/>
      <c r="C74" s="22"/>
      <c r="D74" s="62" t="n">
        <f aca="false">IF(OR(D52="",D13=""),"",((D52*(1+IF(D53="",0,D53))^ROUNDDOWN(9/IF(D54="",5,D54),0))+IF(IF(D62="",IF($D$35="",0,$D$35),D62)=0,0,MAX(0,D13*1.02^9-IF(D63&lt;&gt;"",D63,IF($D$37&lt;&gt;"",$D$37,(D52*(1+IF(D53="",0,D53))^ROUNDDOWN(9/IF(D54="",5,D54),0))/IF(D62="",IF($D$35="",0,$D$35),D62))))*IF(D62="",IF($D$35="",0,$D$35),D62)))/(D13*1.02^9))</f>
        <v>0.0486513804359398</v>
      </c>
      <c r="E74" s="62" t="n">
        <f aca="false">IF(OR(E52="",D13=""),"",((E52*(1+IF(E53="",0,E53))^ROUNDDOWN(9/IF(E54="",5,E54),0))+IF(IF(E62="",IF($D$35="",0,$D$35),E62)=0,0,MAX(0,D13*1.02^9-IF(E63&lt;&gt;"",E63,IF($D$37&lt;&gt;"",$D$37,(E52*(1+IF(E53="",0,E53))^ROUNDDOWN(9/IF(E54="",5,E54),0))/IF(E62="",IF($D$35="",0,$D$35),E62))))*IF(E62="",IF($D$35="",0,$D$35),E62)))/(D13*1.02^9))</f>
        <v>0.0528571847383714</v>
      </c>
      <c r="F74" s="62" t="n">
        <f aca="false">IF(OR(F52="",D13=""),"",((F52*(1+IF(F53="",0,F53))^ROUNDDOWN(9/IF(F54="",5,F54),0))+IF(IF(F62="",IF($D$35="",0,$D$35),F62)=0,0,MAX(0,D13*1.02^9-IF(F63&lt;&gt;"",F63,IF($D$37&lt;&gt;"",$D$37,(F52*(1+IF(F53="",0,F53))^ROUNDDOWN(9/IF(F54="",5,F54),0))/IF(F62="",IF($D$35="",0,$D$35),F62))))*IF(F62="",IF($D$35="",0,$D$35),F62)))/(D13*1.02^9))</f>
        <v>0.0644425027076129</v>
      </c>
      <c r="G74" s="62" t="n">
        <f aca="false">IF(OR(G52="",D13=""),"",((G52*(1+IF(G53="",0,G53))^ROUNDDOWN(9/IF(G54="",5,G54),0))+IF(IF(G62="",IF($D$35="",0,$D$35),G62)=0,0,MAX(0,D13*1.02^9-IF(G63&lt;&gt;"",G63,IF($D$37&lt;&gt;"",$D$37,(G52*(1+IF(G53="",0,G53))^ROUNDDOWN(9/IF(G54="",5,G54),0))/IF(G62="",IF($D$35="",0,$D$35),G62))))*IF(G62="",IF($D$35="",0,$D$35),G62)))/(D13*1.02^9))</f>
        <v>0.0469138311346562</v>
      </c>
      <c r="H74" s="62" t="str">
        <f aca="false">IF(OR(H52="",D13=""),"",((H52*(1+IF(H53="",0,H53))^ROUNDDOWN(9/IF(H54="",5,H54),0))+IF(IF(H62="",IF($D$35="",0,$D$35),H62)=0,0,MAX(0,D13*1.02^9-IF(H63&lt;&gt;"",H63,IF($D$37&lt;&gt;"",$D$37,(H52*(1+IF(H53="",0,H53))^ROUNDDOWN(9/IF(H54="",5,H54),0))/IF(H62="",IF($D$35="",0,$D$35),H62))))*IF(H62="",IF($D$35="",0,$D$35),H62)))/(D13*1.02^9))</f>
        <v/>
      </c>
    </row>
    <row r="75" customFormat="false" ht="23.85" hidden="false" customHeight="true" outlineLevel="0" collapsed="false">
      <c r="A75" s="22" t="s">
        <v>377</v>
      </c>
      <c r="B75" s="22"/>
      <c r="C75" s="22"/>
      <c r="D75" s="66" t="str">
        <f aca="false">IF(OR(D74="",D67=""),"",IF(MAX(D67,D74)&gt;=0.08,"HARD STOP — occupancy at/above 8% of sales: STOP, CEO sign-off before responding",IF(MAX(D67,D74)&gt;0.07,"Above Kim 7% alert — approaching 8% hard stop","OK — under 7% alert")))</f>
        <v>OK — under 7% alert</v>
      </c>
      <c r="E75" s="66" t="str">
        <f aca="false">IF(OR(E74="",E67=""),"",IF(MAX(E67,E74)&gt;=0.08,"HARD STOP — occupancy at/above 8% of sales: STOP, CEO sign-off before responding",IF(MAX(E67,E74)&gt;0.07,"Above Kim 7% alert — approaching 8% hard stop","OK — under 7% alert")))</f>
        <v>OK — under 7% alert</v>
      </c>
      <c r="F75" s="66" t="str">
        <f aca="false">IF(OR(F74="",F67=""),"",IF(MAX(F67,F74)&gt;=0.08,"HARD STOP — occupancy at/above 8% of sales: STOP, CEO sign-off before responding",IF(MAX(F67,F74)&gt;0.07,"Above Kim 7% alert — approaching 8% hard stop","OK — under 7% alert")))</f>
        <v>OK — under 7% alert</v>
      </c>
      <c r="G75" s="66" t="str">
        <f aca="false">IF(OR(G74="",G67=""),"",IF(MAX(G67,G74)&gt;=0.08,"HARD STOP — occupancy at/above 8% of sales: STOP, CEO sign-off before responding",IF(MAX(G67,G74)&gt;0.07,"Above Kim 7% alert — approaching 8% hard stop","OK — under 7% alert")))</f>
        <v>OK — under 7% alert</v>
      </c>
      <c r="H75" s="66" t="str">
        <f aca="false">IF(OR(H74="",H67=""),"",IF(MAX(H67,H74)&gt;=0.08,"HARD STOP — occupancy at/above 8% of sales: STOP, CEO sign-off before responding",IF(MAX(H67,H74)&gt;0.07,"Above Kim 7% alert — approaching 8% hard stop","OK — under 7% alert")))</f>
        <v/>
      </c>
    </row>
    <row r="77" customFormat="false" ht="22.35" hidden="false" customHeight="true" outlineLevel="0" collapsed="false">
      <c r="A77" s="68" t="s">
        <v>379</v>
      </c>
      <c r="B77" s="68"/>
      <c r="C77" s="68"/>
      <c r="D77" s="68"/>
      <c r="E77" s="68"/>
      <c r="F77" s="68"/>
      <c r="G77" s="68"/>
      <c r="H77" s="68"/>
      <c r="I77" s="68"/>
      <c r="J77" s="68"/>
    </row>
    <row r="79" customFormat="false" ht="15" hidden="false" customHeight="false" outlineLevel="0" collapsed="false">
      <c r="A79" s="69" t="s">
        <v>380</v>
      </c>
      <c r="B79" s="69"/>
      <c r="C79" s="69"/>
      <c r="D79" s="69"/>
      <c r="E79" s="69"/>
      <c r="F79" s="69"/>
      <c r="G79" s="69"/>
      <c r="H79" s="69"/>
      <c r="I79" s="69"/>
      <c r="J79" s="69"/>
    </row>
    <row r="82" customFormat="false" ht="15" hidden="false" customHeight="false" outlineLevel="0" collapsed="false">
      <c r="A82" s="25" t="s">
        <v>381</v>
      </c>
    </row>
    <row r="83" customFormat="false" ht="15" hidden="false" customHeight="false" outlineLevel="0" collapsed="false">
      <c r="A83" s="69" t="s">
        <v>382</v>
      </c>
      <c r="B83" s="69"/>
      <c r="C83" s="69"/>
      <c r="D83" s="69"/>
      <c r="E83" s="69"/>
      <c r="F83" s="69"/>
      <c r="G83" s="69"/>
      <c r="H83" s="69"/>
      <c r="I83" s="69"/>
      <c r="J83" s="69"/>
      <c r="K83" s="69"/>
      <c r="L83" s="69"/>
      <c r="M83" s="69"/>
      <c r="N83" s="69"/>
      <c r="O83" s="69"/>
      <c r="P83" s="69"/>
      <c r="Q83" s="69"/>
      <c r="R83" s="69"/>
      <c r="S83" s="69"/>
      <c r="T83" s="69"/>
    </row>
    <row r="84" customFormat="false" ht="15" hidden="false" customHeight="true" outlineLevel="0" collapsed="false">
      <c r="A84" s="70" t="s">
        <v>383</v>
      </c>
      <c r="B84" s="70" t="s">
        <v>384</v>
      </c>
      <c r="C84" s="71" t="s">
        <v>385</v>
      </c>
      <c r="D84" s="71"/>
      <c r="E84" s="71"/>
      <c r="F84" s="71" t="s">
        <v>386</v>
      </c>
      <c r="G84" s="71"/>
      <c r="H84" s="71"/>
      <c r="I84" s="71" t="s">
        <v>387</v>
      </c>
      <c r="J84" s="71"/>
      <c r="K84" s="71"/>
      <c r="L84" s="71" t="s">
        <v>388</v>
      </c>
      <c r="M84" s="71"/>
      <c r="N84" s="71"/>
      <c r="O84" s="71" t="s">
        <v>389</v>
      </c>
      <c r="P84" s="71"/>
      <c r="Q84" s="71"/>
      <c r="R84" s="72" t="s">
        <v>390</v>
      </c>
      <c r="S84" s="72"/>
      <c r="T84" s="72"/>
    </row>
    <row r="85" customFormat="false" ht="15" hidden="false" customHeight="false" outlineLevel="0" collapsed="false">
      <c r="A85" s="73"/>
      <c r="B85" s="73"/>
      <c r="C85" s="73" t="s">
        <v>391</v>
      </c>
      <c r="D85" s="73" t="s">
        <v>392</v>
      </c>
      <c r="E85" s="73" t="s">
        <v>393</v>
      </c>
      <c r="F85" s="73" t="s">
        <v>391</v>
      </c>
      <c r="G85" s="73" t="s">
        <v>392</v>
      </c>
      <c r="H85" s="73" t="s">
        <v>393</v>
      </c>
      <c r="I85" s="73" t="s">
        <v>391</v>
      </c>
      <c r="J85" s="73" t="s">
        <v>392</v>
      </c>
      <c r="K85" s="73" t="s">
        <v>393</v>
      </c>
      <c r="L85" s="73" t="s">
        <v>391</v>
      </c>
      <c r="M85" s="73" t="s">
        <v>392</v>
      </c>
      <c r="N85" s="73" t="s">
        <v>393</v>
      </c>
      <c r="O85" s="73" t="s">
        <v>391</v>
      </c>
      <c r="P85" s="73" t="s">
        <v>392</v>
      </c>
      <c r="Q85" s="73" t="s">
        <v>393</v>
      </c>
      <c r="R85" s="73" t="s">
        <v>391</v>
      </c>
      <c r="S85" s="73" t="s">
        <v>392</v>
      </c>
      <c r="T85" s="73" t="s">
        <v>393</v>
      </c>
    </row>
    <row r="86" customFormat="false" ht="15" hidden="false" customHeight="false" outlineLevel="0" collapsed="false">
      <c r="A86" s="74" t="n">
        <v>1</v>
      </c>
      <c r="B86" s="75" t="n">
        <v>2648647</v>
      </c>
      <c r="C86" s="76" t="n">
        <v>48047</v>
      </c>
      <c r="D86" s="83" t="n">
        <v>87308</v>
      </c>
      <c r="E86" s="76" t="n">
        <v>135355</v>
      </c>
      <c r="F86" s="75" t="n">
        <f aca="false">IF(D52="","",IF(1&gt;IF(D55="",10,D55),"",D52*(1+IF(D53="",0,D53))^ROUNDDOWN((1-1)/IF(D54="",5,D54),0)))</f>
        <v>140000</v>
      </c>
      <c r="G86" s="75" t="n">
        <f aca="false">IF(F86="","",IF((IF(D62="",IF($D$35="",0,$D$35),D62))=0,0,MAX(0,2648646.55-(IF(D63&lt;&gt;"",D63,IF($D$37&lt;&gt;"",$D$37,IF((IF(D62="",IF($D$35="",0,$D$35),D62))=0,0,D52/(IF(D62="",IF($D$35="",0,$D$35),D62)))))))*(IF(D62="",IF($D$35="",0,$D$35),D62))))</f>
        <v>0</v>
      </c>
      <c r="H86" s="75" t="n">
        <f aca="false">IF(F86="","",F86+G86)</f>
        <v>140000</v>
      </c>
      <c r="I86" s="75" t="n">
        <f aca="false">IF(E52="","",IF(1&gt;IF(E55="",10,E55),"",E52*(1+IF(E53="",0,E53))^ROUNDDOWN((1-1)/IF(E54="",5,E54),0)))</f>
        <v>140000</v>
      </c>
      <c r="J86" s="75" t="n">
        <f aca="false">IF(I86="","",IF((IF(E62="",IF($D$35="",0,$D$35),E62))=0,0,MAX(0,2648646.55-(IF(E63&lt;&gt;"",E63,IF($D$37&lt;&gt;"",$D$37,IF((IF(E62="",IF($D$35="",0,$D$35),E62))=0,0,E52/(IF(E62="",IF($D$35="",0,$D$35),E62)))))))*(IF(E62="",IF($D$35="",0,$D$35),E62))))</f>
        <v>0</v>
      </c>
      <c r="K86" s="75" t="n">
        <f aca="false">IF(I86="","",I86+J86)</f>
        <v>140000</v>
      </c>
      <c r="L86" s="75" t="n">
        <f aca="false">IF(F52="","",IF(1&gt;IF(F55="",10,F55),"",F52*(1+IF(F53="",0,F53))^ROUNDDOWN((1-1)/IF(F54="",5,F54),0)))</f>
        <v>150000</v>
      </c>
      <c r="M86" s="75" t="n">
        <f aca="false">IF(L86="","",IF((IF(F62="",IF($D$35="",0,$D$35),F62))=0,0,MAX(0,2648646.55-(IF(F63&lt;&gt;"",F63,IF($D$37&lt;&gt;"",$D$37,IF((IF(F62="",IF($D$35="",0,$D$35),F62))=0,0,F52/(IF(F62="",IF($D$35="",0,$D$35),F62)))))))*(IF(F62="",IF($D$35="",0,$D$35),F62))))</f>
        <v>0</v>
      </c>
      <c r="N86" s="75" t="n">
        <f aca="false">IF(L86="","",L86+M86)</f>
        <v>150000</v>
      </c>
      <c r="O86" s="75" t="n">
        <f aca="false">IF(G52="","",IF(1&gt;IF(G55="",10,G55),"",G52*(1+IF(G53="",0,G53))^ROUNDDOWN((1-1)/IF(G54="",5,G54),0)))</f>
        <v>135000</v>
      </c>
      <c r="P86" s="75" t="n">
        <f aca="false">IF(O86="","",IF((IF(G62="",IF($D$35="",0,$D$35),G62))=0,0,MAX(0,2648646.55-(IF(G63&lt;&gt;"",G63,IF($D$37&lt;&gt;"",$D$37,IF((IF(G62="",IF($D$35="",0,$D$35),G62))=0,0,G52/(IF(G62="",IF($D$35="",0,$D$35),G62)))))))*(IF(G62="",IF($D$35="",0,$D$35),G62))))</f>
        <v>0</v>
      </c>
      <c r="Q86" s="75" t="n">
        <f aca="false">IF(O86="","",O86+P86)</f>
        <v>135000</v>
      </c>
      <c r="R86" s="75" t="str">
        <f aca="false">IF(H52="","",IF(1&gt;IF(H55="",10,H55),"",H52*(1+IF(H53="",0,H53))^ROUNDDOWN((1-1)/IF(H54="",5,H54),0)))</f>
        <v/>
      </c>
      <c r="S86" s="75" t="str">
        <f aca="false">IF(R86="","",IF((IF(H62="",IF($D$35="",0,$D$35),H62))=0,0,MAX(0,2648646.55-(IF(H63&lt;&gt;"",H63,IF($D$37&lt;&gt;"",$D$37,IF((IF(H62="",IF($D$35="",0,$D$35),H62))=0,0,H52/(IF(H62="",IF($D$35="",0,$D$35),H62)))))))*(IF(H62="",IF($D$35="",0,$D$35),H62))))</f>
        <v/>
      </c>
      <c r="T86" s="75" t="str">
        <f aca="false">IF(R86="","",R86+S86)</f>
        <v/>
      </c>
    </row>
    <row r="87" customFormat="false" ht="15" hidden="false" customHeight="false" outlineLevel="0" collapsed="false">
      <c r="A87" s="74" t="n">
        <v>2</v>
      </c>
      <c r="B87" s="75" t="n">
        <v>2701619</v>
      </c>
      <c r="C87" s="76" t="n">
        <v>48047</v>
      </c>
      <c r="D87" s="83" t="n">
        <v>89957</v>
      </c>
      <c r="E87" s="76" t="n">
        <v>138004</v>
      </c>
      <c r="F87" s="75" t="n">
        <f aca="false">IF(D52="","",IF(2&gt;IF(D55="",10,D55),"",D52*(1+IF(D53="",0,D53))^ROUNDDOWN((2-1)/IF(D54="",5,D54),0)))</f>
        <v>140000</v>
      </c>
      <c r="G87" s="75" t="n">
        <f aca="false">IF(F87="","",IF((IF(D62="",IF($D$35="",0,$D$35),D62))=0,0,MAX(0,2701619.48-(IF(D63&lt;&gt;"",D63,IF($D$37&lt;&gt;"",$D$37,IF((IF(D62="",IF($D$35="",0,$D$35),D62))=0,0,D52/(IF(D62="",IF($D$35="",0,$D$35),D62)))))))*(IF(D62="",IF($D$35="",0,$D$35),D62))))</f>
        <v>0</v>
      </c>
      <c r="H87" s="75" t="n">
        <f aca="false">IF(F87="","",F87+G87)</f>
        <v>140000</v>
      </c>
      <c r="I87" s="75" t="n">
        <f aca="false">IF(E52="","",IF(2&gt;IF(E55="",10,E55),"",E52*(1+IF(E53="",0,E53))^ROUNDDOWN((2-1)/IF(E54="",5,E54),0)))</f>
        <v>142800</v>
      </c>
      <c r="J87" s="75" t="n">
        <f aca="false">IF(I87="","",IF((IF(E62="",IF($D$35="",0,$D$35),E62))=0,0,MAX(0,2701619.48-(IF(E63&lt;&gt;"",E63,IF($D$37&lt;&gt;"",$D$37,IF((IF(E62="",IF($D$35="",0,$D$35),E62))=0,0,E52/(IF(E62="",IF($D$35="",0,$D$35),E62)))))))*(IF(E62="",IF($D$35="",0,$D$35),E62))))</f>
        <v>0</v>
      </c>
      <c r="K87" s="75" t="n">
        <f aca="false">IF(I87="","",I87+J87)</f>
        <v>142800</v>
      </c>
      <c r="L87" s="75" t="n">
        <f aca="false">IF(F52="","",IF(2&gt;IF(F55="",10,F55),"",F52*(1+IF(F53="",0,F53))^ROUNDDOWN((2-1)/IF(F54="",5,F54),0)))</f>
        <v>154500</v>
      </c>
      <c r="M87" s="75" t="n">
        <f aca="false">IF(L87="","",IF((IF(F62="",IF($D$35="",0,$D$35),F62))=0,0,MAX(0,2701619.48-(IF(F63&lt;&gt;"",F63,IF($D$37&lt;&gt;"",$D$37,IF((IF(F62="",IF($D$35="",0,$D$35),F62))=0,0,F52/(IF(F62="",IF($D$35="",0,$D$35),F62)))))))*(IF(F62="",IF($D$35="",0,$D$35),F62))))</f>
        <v>0</v>
      </c>
      <c r="N87" s="75" t="n">
        <f aca="false">IF(L87="","",L87+M87)</f>
        <v>154500</v>
      </c>
      <c r="O87" s="75" t="n">
        <f aca="false">IF(G52="","",IF(2&gt;IF(G55="",10,G55),"",G52*(1+IF(G53="",0,G53))^ROUNDDOWN((2-1)/IF(G54="",5,G54),0)))</f>
        <v>135000</v>
      </c>
      <c r="P87" s="75" t="n">
        <f aca="false">IF(O87="","",IF((IF(G62="",IF($D$35="",0,$D$35),G62))=0,0,MAX(0,2701619.48-(IF(G63&lt;&gt;"",G63,IF($D$37&lt;&gt;"",$D$37,IF((IF(G62="",IF($D$35="",0,$D$35),G62))=0,0,G52/(IF(G62="",IF($D$35="",0,$D$35),G62)))))))*(IF(G62="",IF($D$35="",0,$D$35),G62))))</f>
        <v>0</v>
      </c>
      <c r="Q87" s="75" t="n">
        <f aca="false">IF(O87="","",O87+P87)</f>
        <v>135000</v>
      </c>
      <c r="R87" s="75" t="str">
        <f aca="false">IF(H52="","",IF(2&gt;IF(H55="",10,H55),"",H52*(1+IF(H53="",0,H53))^ROUNDDOWN((2-1)/IF(H54="",5,H54),0)))</f>
        <v/>
      </c>
      <c r="S87" s="75" t="str">
        <f aca="false">IF(R87="","",IF((IF(H62="",IF($D$35="",0,$D$35),H62))=0,0,MAX(0,2701619.48-(IF(H63&lt;&gt;"",H63,IF($D$37&lt;&gt;"",$D$37,IF((IF(H62="",IF($D$35="",0,$D$35),H62))=0,0,H52/(IF(H62="",IF($D$35="",0,$D$35),H62)))))))*(IF(H62="",IF($D$35="",0,$D$35),H62))))</f>
        <v/>
      </c>
      <c r="T87" s="75" t="str">
        <f aca="false">IF(R87="","",R87+S87)</f>
        <v/>
      </c>
    </row>
    <row r="88" customFormat="false" ht="15" hidden="false" customHeight="false" outlineLevel="0" collapsed="false">
      <c r="A88" s="74" t="n">
        <v>3</v>
      </c>
      <c r="B88" s="75" t="n">
        <v>2755652</v>
      </c>
      <c r="C88" s="76" t="n">
        <v>48047</v>
      </c>
      <c r="D88" s="83" t="n">
        <v>92658</v>
      </c>
      <c r="E88" s="76" t="n">
        <v>140706</v>
      </c>
      <c r="F88" s="75" t="n">
        <f aca="false">IF(D52="","",IF(3&gt;IF(D55="",10,D55),"",D52*(1+IF(D53="",0,D53))^ROUNDDOWN((3-1)/IF(D54="",5,D54),0)))</f>
        <v>140000</v>
      </c>
      <c r="G88" s="75" t="n">
        <f aca="false">IF(F88="","",IF((IF(D62="",IF($D$35="",0,$D$35),D62))=0,0,MAX(0,2755651.87-(IF(D63&lt;&gt;"",D63,IF($D$37&lt;&gt;"",$D$37,IF((IF(D62="",IF($D$35="",0,$D$35),D62))=0,0,D52/(IF(D62="",IF($D$35="",0,$D$35),D62)))))))*(IF(D62="",IF($D$35="",0,$D$35),D62))))</f>
        <v>0</v>
      </c>
      <c r="H88" s="75" t="n">
        <f aca="false">IF(F88="","",F88+G88)</f>
        <v>140000</v>
      </c>
      <c r="I88" s="75" t="n">
        <f aca="false">IF(E52="","",IF(3&gt;IF(E55="",10,E55),"",E52*(1+IF(E53="",0,E53))^ROUNDDOWN((3-1)/IF(E54="",5,E54),0)))</f>
        <v>145656</v>
      </c>
      <c r="J88" s="75" t="n">
        <f aca="false">IF(I88="","",IF((IF(E62="",IF($D$35="",0,$D$35),E62))=0,0,MAX(0,2755651.87-(IF(E63&lt;&gt;"",E63,IF($D$37&lt;&gt;"",$D$37,IF((IF(E62="",IF($D$35="",0,$D$35),E62))=0,0,E52/(IF(E62="",IF($D$35="",0,$D$35),E62)))))))*(IF(E62="",IF($D$35="",0,$D$35),E62))))</f>
        <v>0</v>
      </c>
      <c r="K88" s="75" t="n">
        <f aca="false">IF(I88="","",I88+J88)</f>
        <v>145656</v>
      </c>
      <c r="L88" s="75" t="n">
        <f aca="false">IF(F52="","",IF(3&gt;IF(F55="",10,F55),"",F52*(1+IF(F53="",0,F53))^ROUNDDOWN((3-1)/IF(F54="",5,F54),0)))</f>
        <v>159135</v>
      </c>
      <c r="M88" s="75" t="n">
        <f aca="false">IF(L88="","",IF((IF(F62="",IF($D$35="",0,$D$35),F62))=0,0,MAX(0,2755651.87-(IF(F63&lt;&gt;"",F63,IF($D$37&lt;&gt;"",$D$37,IF((IF(F62="",IF($D$35="",0,$D$35),F62))=0,0,F52/(IF(F62="",IF($D$35="",0,$D$35),F62)))))))*(IF(F62="",IF($D$35="",0,$D$35),F62))))</f>
        <v>0</v>
      </c>
      <c r="N88" s="75" t="n">
        <f aca="false">IF(L88="","",L88+M88)</f>
        <v>159135</v>
      </c>
      <c r="O88" s="75" t="n">
        <f aca="false">IF(G52="","",IF(3&gt;IF(G55="",10,G55),"",G52*(1+IF(G53="",0,G53))^ROUNDDOWN((3-1)/IF(G54="",5,G54),0)))</f>
        <v>135000</v>
      </c>
      <c r="P88" s="75" t="n">
        <f aca="false">IF(O88="","",IF((IF(G62="",IF($D$35="",0,$D$35),G62))=0,0,MAX(0,2755651.87-(IF(G63&lt;&gt;"",G63,IF($D$37&lt;&gt;"",$D$37,IF((IF(G62="",IF($D$35="",0,$D$35),G62))=0,0,G52/(IF(G62="",IF($D$35="",0,$D$35),G62)))))))*(IF(G62="",IF($D$35="",0,$D$35),G62))))</f>
        <v>0</v>
      </c>
      <c r="Q88" s="75" t="n">
        <f aca="false">IF(O88="","",O88+P88)</f>
        <v>135000</v>
      </c>
      <c r="R88" s="75" t="str">
        <f aca="false">IF(H52="","",IF(3&gt;IF(H55="",10,H55),"",H52*(1+IF(H53="",0,H53))^ROUNDDOWN((3-1)/IF(H54="",5,H54),0)))</f>
        <v/>
      </c>
      <c r="S88" s="75" t="str">
        <f aca="false">IF(R88="","",IF((IF(H62="",IF($D$35="",0,$D$35),H62))=0,0,MAX(0,2755651.87-(IF(H63&lt;&gt;"",H63,IF($D$37&lt;&gt;"",$D$37,IF((IF(H62="",IF($D$35="",0,$D$35),H62))=0,0,H52/(IF(H62="",IF($D$35="",0,$D$35),H62)))))))*(IF(H62="",IF($D$35="",0,$D$35),H62))))</f>
        <v/>
      </c>
      <c r="T88" s="75" t="str">
        <f aca="false">IF(R88="","",R88+S88)</f>
        <v/>
      </c>
    </row>
    <row r="89" customFormat="false" ht="15" hidden="false" customHeight="false" outlineLevel="0" collapsed="false">
      <c r="A89" s="74" t="n">
        <v>4</v>
      </c>
      <c r="B89" s="75" t="n">
        <v>2810765</v>
      </c>
      <c r="C89" s="76" t="n">
        <v>48047</v>
      </c>
      <c r="D89" s="83" t="n">
        <v>95414</v>
      </c>
      <c r="E89" s="76" t="n">
        <v>143461</v>
      </c>
      <c r="F89" s="75" t="n">
        <f aca="false">IF(D52="","",IF(4&gt;IF(D55="",10,D55),"",D52*(1+IF(D53="",0,D53))^ROUNDDOWN((4-1)/IF(D54="",5,D54),0)))</f>
        <v>140000</v>
      </c>
      <c r="G89" s="75" t="n">
        <f aca="false">IF(F89="","",IF((IF(D62="",IF($D$35="",0,$D$35),D62))=0,0,MAX(0,2810764.91-(IF(D63&lt;&gt;"",D63,IF($D$37&lt;&gt;"",$D$37,IF((IF(D62="",IF($D$35="",0,$D$35),D62))=0,0,D52/(IF(D62="",IF($D$35="",0,$D$35),D62)))))))*(IF(D62="",IF($D$35="",0,$D$35),D62))))</f>
        <v>0</v>
      </c>
      <c r="H89" s="75" t="n">
        <f aca="false">IF(F89="","",F89+G89)</f>
        <v>140000</v>
      </c>
      <c r="I89" s="75" t="n">
        <f aca="false">IF(E52="","",IF(4&gt;IF(E55="",10,E55),"",E52*(1+IF(E53="",0,E53))^ROUNDDOWN((4-1)/IF(E54="",5,E54),0)))</f>
        <v>148569.12</v>
      </c>
      <c r="J89" s="75" t="n">
        <f aca="false">IF(I89="","",IF((IF(E62="",IF($D$35="",0,$D$35),E62))=0,0,MAX(0,2810764.91-(IF(E63&lt;&gt;"",E63,IF($D$37&lt;&gt;"",$D$37,IF((IF(E62="",IF($D$35="",0,$D$35),E62))=0,0,E52/(IF(E62="",IF($D$35="",0,$D$35),E62)))))))*(IF(E62="",IF($D$35="",0,$D$35),E62))))</f>
        <v>0</v>
      </c>
      <c r="K89" s="75" t="n">
        <f aca="false">IF(I89="","",I89+J89)</f>
        <v>148569.12</v>
      </c>
      <c r="L89" s="75" t="n">
        <f aca="false">IF(F52="","",IF(4&gt;IF(F55="",10,F55),"",F52*(1+IF(F53="",0,F53))^ROUNDDOWN((4-1)/IF(F54="",5,F54),0)))</f>
        <v>163909.05</v>
      </c>
      <c r="M89" s="75" t="n">
        <f aca="false">IF(L89="","",IF((IF(F62="",IF($D$35="",0,$D$35),F62))=0,0,MAX(0,2810764.91-(IF(F63&lt;&gt;"",F63,IF($D$37&lt;&gt;"",$D$37,IF((IF(F62="",IF($D$35="",0,$D$35),F62))=0,0,F52/(IF(F62="",IF($D$35="",0,$D$35),F62)))))))*(IF(F62="",IF($D$35="",0,$D$35),F62))))</f>
        <v>0</v>
      </c>
      <c r="N89" s="75" t="n">
        <f aca="false">IF(L89="","",L89+M89)</f>
        <v>163909.05</v>
      </c>
      <c r="O89" s="75" t="n">
        <f aca="false">IF(G52="","",IF(4&gt;IF(G55="",10,G55),"",G52*(1+IF(G53="",0,G53))^ROUNDDOWN((4-1)/IF(G54="",5,G54),0)))</f>
        <v>135000</v>
      </c>
      <c r="P89" s="75" t="n">
        <f aca="false">IF(O89="","",IF((IF(G62="",IF($D$35="",0,$D$35),G62))=0,0,MAX(0,2810764.91-(IF(G63&lt;&gt;"",G63,IF($D$37&lt;&gt;"",$D$37,IF((IF(G62="",IF($D$35="",0,$D$35),G62))=0,0,G52/(IF(G62="",IF($D$35="",0,$D$35),G62)))))))*(IF(G62="",IF($D$35="",0,$D$35),G62))))</f>
        <v>0</v>
      </c>
      <c r="Q89" s="75" t="n">
        <f aca="false">IF(O89="","",O89+P89)</f>
        <v>135000</v>
      </c>
      <c r="R89" s="75" t="str">
        <f aca="false">IF(H52="","",IF(4&gt;IF(H55="",10,H55),"",H52*(1+IF(H53="",0,H53))^ROUNDDOWN((4-1)/IF(H54="",5,H54),0)))</f>
        <v/>
      </c>
      <c r="S89" s="75" t="str">
        <f aca="false">IF(R89="","",IF((IF(H62="",IF($D$35="",0,$D$35),H62))=0,0,MAX(0,2810764.91-(IF(H63&lt;&gt;"",H63,IF($D$37&lt;&gt;"",$D$37,IF((IF(H62="",IF($D$35="",0,$D$35),H62))=0,0,H52/(IF(H62="",IF($D$35="",0,$D$35),H62)))))))*(IF(H62="",IF($D$35="",0,$D$35),H62))))</f>
        <v/>
      </c>
      <c r="T89" s="75" t="str">
        <f aca="false">IF(R89="","",R89+S89)</f>
        <v/>
      </c>
    </row>
    <row r="90" customFormat="false" ht="15" hidden="false" customHeight="false" outlineLevel="0" collapsed="false">
      <c r="A90" s="74" t="n">
        <v>5</v>
      </c>
      <c r="B90" s="75" t="n">
        <v>2866980</v>
      </c>
      <c r="C90" s="76" t="n">
        <v>48047</v>
      </c>
      <c r="D90" s="83" t="n">
        <v>98225</v>
      </c>
      <c r="E90" s="76" t="n">
        <v>146272</v>
      </c>
      <c r="F90" s="75" t="n">
        <f aca="false">IF(D52="","",IF(5&gt;IF(D55="",10,D55),"",D52*(1+IF(D53="",0,D53))^ROUNDDOWN((5-1)/IF(D54="",5,D54),0)))</f>
        <v>140000</v>
      </c>
      <c r="G90" s="75" t="n">
        <f aca="false">IF(F90="","",IF((IF(D62="",IF($D$35="",0,$D$35),D62))=0,0,MAX(0,2866980.21-(IF(D63&lt;&gt;"",D63,IF($D$37&lt;&gt;"",$D$37,IF((IF(D62="",IF($D$35="",0,$D$35),D62))=0,0,D52/(IF(D62="",IF($D$35="",0,$D$35),D62)))))))*(IF(D62="",IF($D$35="",0,$D$35),D62))))</f>
        <v>0</v>
      </c>
      <c r="H90" s="75" t="n">
        <f aca="false">IF(F90="","",F90+G90)</f>
        <v>140000</v>
      </c>
      <c r="I90" s="75" t="n">
        <f aca="false">IF(E52="","",IF(5&gt;IF(E55="",10,E55),"",E52*(1+IF(E53="",0,E53))^ROUNDDOWN((5-1)/IF(E54="",5,E54),0)))</f>
        <v>151540.5024</v>
      </c>
      <c r="J90" s="75" t="n">
        <f aca="false">IF(I90="","",IF((IF(E62="",IF($D$35="",0,$D$35),E62))=0,0,MAX(0,2866980.21-(IF(E63&lt;&gt;"",E63,IF($D$37&lt;&gt;"",$D$37,IF((IF(E62="",IF($D$35="",0,$D$35),E62))=0,0,E52/(IF(E62="",IF($D$35="",0,$D$35),E62)))))))*(IF(E62="",IF($D$35="",0,$D$35),E62))))</f>
        <v>0</v>
      </c>
      <c r="K90" s="75" t="n">
        <f aca="false">IF(I90="","",I90+J90)</f>
        <v>151540.5024</v>
      </c>
      <c r="L90" s="75" t="n">
        <f aca="false">IF(F52="","",IF(5&gt;IF(F55="",10,F55),"",F52*(1+IF(F53="",0,F53))^ROUNDDOWN((5-1)/IF(F54="",5,F54),0)))</f>
        <v>168826.3215</v>
      </c>
      <c r="M90" s="75" t="n">
        <f aca="false">IF(L90="","",IF((IF(F62="",IF($D$35="",0,$D$35),F62))=0,0,MAX(0,2866980.21-(IF(F63&lt;&gt;"",F63,IF($D$37&lt;&gt;"",$D$37,IF((IF(F62="",IF($D$35="",0,$D$35),F62))=0,0,F52/(IF(F62="",IF($D$35="",0,$D$35),F62)))))))*(IF(F62="",IF($D$35="",0,$D$35),F62))))</f>
        <v>0</v>
      </c>
      <c r="N90" s="75" t="n">
        <f aca="false">IF(L90="","",L90+M90)</f>
        <v>168826.3215</v>
      </c>
      <c r="O90" s="75" t="n">
        <f aca="false">IF(G52="","",IF(5&gt;IF(G55="",10,G55),"",G52*(1+IF(G53="",0,G53))^ROUNDDOWN((5-1)/IF(G54="",5,G54),0)))</f>
        <v>135000</v>
      </c>
      <c r="P90" s="75" t="n">
        <f aca="false">IF(O90="","",IF((IF(G62="",IF($D$35="",0,$D$35),G62))=0,0,MAX(0,2866980.21-(IF(G63&lt;&gt;"",G63,IF($D$37&lt;&gt;"",$D$37,IF((IF(G62="",IF($D$35="",0,$D$35),G62))=0,0,G52/(IF(G62="",IF($D$35="",0,$D$35),G62)))))))*(IF(G62="",IF($D$35="",0,$D$35),G62))))</f>
        <v>0</v>
      </c>
      <c r="Q90" s="75" t="n">
        <f aca="false">IF(O90="","",O90+P90)</f>
        <v>135000</v>
      </c>
      <c r="R90" s="75" t="str">
        <f aca="false">IF(H52="","",IF(5&gt;IF(H55="",10,H55),"",H52*(1+IF(H53="",0,H53))^ROUNDDOWN((5-1)/IF(H54="",5,H54),0)))</f>
        <v/>
      </c>
      <c r="S90" s="75" t="str">
        <f aca="false">IF(R90="","",IF((IF(H62="",IF($D$35="",0,$D$35),H62))=0,0,MAX(0,2866980.21-(IF(H63&lt;&gt;"",H63,IF($D$37&lt;&gt;"",$D$37,IF((IF(H62="",IF($D$35="",0,$D$35),H62))=0,0,H52/(IF(H62="",IF($D$35="",0,$D$35),H62)))))))*(IF(H62="",IF($D$35="",0,$D$35),H62))))</f>
        <v/>
      </c>
      <c r="T90" s="75" t="str">
        <f aca="false">IF(R90="","",R90+S90)</f>
        <v/>
      </c>
    </row>
    <row r="91" customFormat="false" ht="15" hidden="false" customHeight="false" outlineLevel="0" collapsed="false">
      <c r="A91" s="74" t="n">
        <v>6</v>
      </c>
      <c r="B91" s="75" t="n">
        <v>2924320</v>
      </c>
      <c r="C91" s="76" t="n">
        <v>53046</v>
      </c>
      <c r="D91" s="83" t="n">
        <v>101092</v>
      </c>
      <c r="E91" s="76" t="n">
        <v>154138</v>
      </c>
      <c r="F91" s="75" t="n">
        <f aca="false">IF(D52="","",IF(6&gt;IF(D55="",10,D55),"",D52*(1+IF(D53="",0,D53))^ROUNDDOWN((6-1)/IF(D54="",5,D54),0)))</f>
        <v>154000</v>
      </c>
      <c r="G91" s="75" t="n">
        <f aca="false">IF(F91="","",IF((IF(D62="",IF($D$35="",0,$D$35),D62))=0,0,MAX(0,2924319.81-(IF(D63&lt;&gt;"",D63,IF($D$37&lt;&gt;"",$D$37,IF((IF(D62="",IF($D$35="",0,$D$35),D62))=0,0,D52/(IF(D62="",IF($D$35="",0,$D$35),D62)))))))*(IF(D62="",IF($D$35="",0,$D$35),D62))))</f>
        <v>0</v>
      </c>
      <c r="H91" s="75" t="n">
        <f aca="false">IF(F91="","",F91+G91)</f>
        <v>154000</v>
      </c>
      <c r="I91" s="75" t="n">
        <f aca="false">IF(E52="","",IF(6&gt;IF(E55="",10,E55),"",E52*(1+IF(E53="",0,E53))^ROUNDDOWN((6-1)/IF(E54="",5,E54),0)))</f>
        <v>154571.312448</v>
      </c>
      <c r="J91" s="75" t="n">
        <f aca="false">IF(I91="","",IF((IF(E62="",IF($D$35="",0,$D$35),E62))=0,0,MAX(0,2924319.81-(IF(E63&lt;&gt;"",E63,IF($D$37&lt;&gt;"",$D$37,IF((IF(E62="",IF($D$35="",0,$D$35),E62))=0,0,E52/(IF(E62="",IF($D$35="",0,$D$35),E62)))))))*(IF(E62="",IF($D$35="",0,$D$35),E62))))</f>
        <v>0</v>
      </c>
      <c r="K91" s="75" t="n">
        <f aca="false">IF(I91="","",I91+J91)</f>
        <v>154571.312448</v>
      </c>
      <c r="L91" s="75" t="n">
        <f aca="false">IF(F52="","",IF(6&gt;IF(F55="",10,F55),"",F52*(1+IF(F53="",0,F53))^ROUNDDOWN((6-1)/IF(F54="",5,F54),0)))</f>
        <v>173891.111145</v>
      </c>
      <c r="M91" s="75" t="n">
        <f aca="false">IF(L91="","",IF((IF(F62="",IF($D$35="",0,$D$35),F62))=0,0,MAX(0,2924319.81-(IF(F63&lt;&gt;"",F63,IF($D$37&lt;&gt;"",$D$37,IF((IF(F62="",IF($D$35="",0,$D$35),F62))=0,0,F52/(IF(F62="",IF($D$35="",0,$D$35),F62)))))))*(IF(F62="",IF($D$35="",0,$D$35),F62))))</f>
        <v>0</v>
      </c>
      <c r="N91" s="75" t="n">
        <f aca="false">IF(L91="","",L91+M91)</f>
        <v>173891.111145</v>
      </c>
      <c r="O91" s="75" t="n">
        <f aca="false">IF(G52="","",IF(6&gt;IF(G55="",10,G55),"",G52*(1+IF(G53="",0,G53))^ROUNDDOWN((6-1)/IF(G54="",5,G54),0)))</f>
        <v>148500</v>
      </c>
      <c r="P91" s="75" t="n">
        <f aca="false">IF(O91="","",IF((IF(G62="",IF($D$35="",0,$D$35),G62))=0,0,MAX(0,2924319.81-(IF(G63&lt;&gt;"",G63,IF($D$37&lt;&gt;"",$D$37,IF((IF(G62="",IF($D$35="",0,$D$35),G62))=0,0,G52/(IF(G62="",IF($D$35="",0,$D$35),G62)))))))*(IF(G62="",IF($D$35="",0,$D$35),G62))))</f>
        <v>0</v>
      </c>
      <c r="Q91" s="75" t="n">
        <f aca="false">IF(O91="","",O91+P91)</f>
        <v>148500</v>
      </c>
      <c r="R91" s="75" t="str">
        <f aca="false">IF(H52="","",IF(6&gt;IF(H55="",10,H55),"",H52*(1+IF(H53="",0,H53))^ROUNDDOWN((6-1)/IF(H54="",5,H54),0)))</f>
        <v/>
      </c>
      <c r="S91" s="75" t="str">
        <f aca="false">IF(R91="","",IF((IF(H62="",IF($D$35="",0,$D$35),H62))=0,0,MAX(0,2924319.81-(IF(H63&lt;&gt;"",H63,IF($D$37&lt;&gt;"",$D$37,IF((IF(H62="",IF($D$35="",0,$D$35),H62))=0,0,H52/(IF(H62="",IF($D$35="",0,$D$35),H62)))))))*(IF(H62="",IF($D$35="",0,$D$35),H62))))</f>
        <v/>
      </c>
      <c r="T91" s="75" t="str">
        <f aca="false">IF(R91="","",R91+S91)</f>
        <v/>
      </c>
    </row>
    <row r="92" customFormat="false" ht="15" hidden="false" customHeight="false" outlineLevel="0" collapsed="false">
      <c r="A92" s="74" t="n">
        <v>7</v>
      </c>
      <c r="B92" s="75" t="n">
        <v>2982806</v>
      </c>
      <c r="C92" s="76" t="n">
        <v>53046</v>
      </c>
      <c r="D92" s="83" t="n">
        <v>104016</v>
      </c>
      <c r="E92" s="76" t="n">
        <v>157062</v>
      </c>
      <c r="F92" s="75" t="n">
        <f aca="false">IF(D52="","",IF(7&gt;IF(D55="",10,D55),"",D52*(1+IF(D53="",0,D53))^ROUNDDOWN((7-1)/IF(D54="",5,D54),0)))</f>
        <v>154000</v>
      </c>
      <c r="G92" s="75" t="n">
        <f aca="false">IF(F92="","",IF((IF(D62="",IF($D$35="",0,$D$35),D62))=0,0,MAX(0,2982806.21-(IF(D63&lt;&gt;"",D63,IF($D$37&lt;&gt;"",$D$37,IF((IF(D62="",IF($D$35="",0,$D$35),D62))=0,0,D52/(IF(D62="",IF($D$35="",0,$D$35),D62)))))))*(IF(D62="",IF($D$35="",0,$D$35),D62))))</f>
        <v>0</v>
      </c>
      <c r="H92" s="75" t="n">
        <f aca="false">IF(F92="","",F92+G92)</f>
        <v>154000</v>
      </c>
      <c r="I92" s="75" t="n">
        <f aca="false">IF(E52="","",IF(7&gt;IF(E55="",10,E55),"",E52*(1+IF(E53="",0,E53))^ROUNDDOWN((7-1)/IF(E54="",5,E54),0)))</f>
        <v>157662.73869696</v>
      </c>
      <c r="J92" s="75" t="n">
        <f aca="false">IF(I92="","",IF((IF(E62="",IF($D$35="",0,$D$35),E62))=0,0,MAX(0,2982806.21-(IF(E63&lt;&gt;"",E63,IF($D$37&lt;&gt;"",$D$37,IF((IF(E62="",IF($D$35="",0,$D$35),E62))=0,0,E52/(IF(E62="",IF($D$35="",0,$D$35),E62)))))))*(IF(E62="",IF($D$35="",0,$D$35),E62))))</f>
        <v>0</v>
      </c>
      <c r="K92" s="75" t="n">
        <f aca="false">IF(I92="","",I92+J92)</f>
        <v>157662.73869696</v>
      </c>
      <c r="L92" s="75" t="n">
        <f aca="false">IF(F52="","",IF(7&gt;IF(F55="",10,F55),"",F52*(1+IF(F53="",0,F53))^ROUNDDOWN((7-1)/IF(F54="",5,F54),0)))</f>
        <v>179107.84447935</v>
      </c>
      <c r="M92" s="75" t="n">
        <f aca="false">IF(L92="","",IF((IF(F62="",IF($D$35="",0,$D$35),F62))=0,0,MAX(0,2982806.21-(IF(F63&lt;&gt;"",F63,IF($D$37&lt;&gt;"",$D$37,IF((IF(F62="",IF($D$35="",0,$D$35),F62))=0,0,F52/(IF(F62="",IF($D$35="",0,$D$35),F62)))))))*(IF(F62="",IF($D$35="",0,$D$35),F62))))</f>
        <v>0</v>
      </c>
      <c r="N92" s="75" t="n">
        <f aca="false">IF(L92="","",L92+M92)</f>
        <v>179107.84447935</v>
      </c>
      <c r="O92" s="75" t="n">
        <f aca="false">IF(G52="","",IF(7&gt;IF(G55="",10,G55),"",G52*(1+IF(G53="",0,G53))^ROUNDDOWN((7-1)/IF(G54="",5,G54),0)))</f>
        <v>148500</v>
      </c>
      <c r="P92" s="75" t="n">
        <f aca="false">IF(O92="","",IF((IF(G62="",IF($D$35="",0,$D$35),G62))=0,0,MAX(0,2982806.21-(IF(G63&lt;&gt;"",G63,IF($D$37&lt;&gt;"",$D$37,IF((IF(G62="",IF($D$35="",0,$D$35),G62))=0,0,G52/(IF(G62="",IF($D$35="",0,$D$35),G62)))))))*(IF(G62="",IF($D$35="",0,$D$35),G62))))</f>
        <v>0</v>
      </c>
      <c r="Q92" s="75" t="n">
        <f aca="false">IF(O92="","",O92+P92)</f>
        <v>148500</v>
      </c>
      <c r="R92" s="75" t="str">
        <f aca="false">IF(H52="","",IF(7&gt;IF(H55="",10,H55),"",H52*(1+IF(H53="",0,H53))^ROUNDDOWN((7-1)/IF(H54="",5,H54),0)))</f>
        <v/>
      </c>
      <c r="S92" s="75" t="str">
        <f aca="false">IF(R92="","",IF((IF(H62="",IF($D$35="",0,$D$35),H62))=0,0,MAX(0,2982806.21-(IF(H63&lt;&gt;"",H63,IF($D$37&lt;&gt;"",$D$37,IF((IF(H62="",IF($D$35="",0,$D$35),H62))=0,0,H52/(IF(H62="",IF($D$35="",0,$D$35),H62)))))))*(IF(H62="",IF($D$35="",0,$D$35),H62))))</f>
        <v/>
      </c>
      <c r="T92" s="75" t="str">
        <f aca="false">IF(R92="","",R92+S92)</f>
        <v/>
      </c>
    </row>
    <row r="93" customFormat="false" ht="15" hidden="false" customHeight="false" outlineLevel="0" collapsed="false">
      <c r="A93" s="74" t="n">
        <v>8</v>
      </c>
      <c r="B93" s="75" t="n">
        <v>3042462</v>
      </c>
      <c r="C93" s="76" t="n">
        <v>53046</v>
      </c>
      <c r="D93" s="83" t="n">
        <v>106999</v>
      </c>
      <c r="E93" s="76" t="n">
        <v>160045</v>
      </c>
      <c r="F93" s="75" t="n">
        <f aca="false">IF(D52="","",IF(8&gt;IF(D55="",10,D55),"",D52*(1+IF(D53="",0,D53))^ROUNDDOWN((8-1)/IF(D54="",5,D54),0)))</f>
        <v>154000</v>
      </c>
      <c r="G93" s="75" t="n">
        <f aca="false">IF(F93="","",IF((IF(D62="",IF($D$35="",0,$D$35),D62))=0,0,MAX(0,3042462.33-(IF(D63&lt;&gt;"",D63,IF($D$37&lt;&gt;"",$D$37,IF((IF(D62="",IF($D$35="",0,$D$35),D62))=0,0,D52/(IF(D62="",IF($D$35="",0,$D$35),D62)))))))*(IF(D62="",IF($D$35="",0,$D$35),D62))))</f>
        <v>0</v>
      </c>
      <c r="H93" s="75" t="n">
        <f aca="false">IF(F93="","",F93+G93)</f>
        <v>154000</v>
      </c>
      <c r="I93" s="75" t="n">
        <f aca="false">IF(E52="","",IF(8&gt;IF(E55="",10,E55),"",E52*(1+IF(E53="",0,E53))^ROUNDDOWN((8-1)/IF(E54="",5,E54),0)))</f>
        <v>160815.993470899</v>
      </c>
      <c r="J93" s="75" t="n">
        <f aca="false">IF(I93="","",IF((IF(E62="",IF($D$35="",0,$D$35),E62))=0,0,MAX(0,3042462.33-(IF(E63&lt;&gt;"",E63,IF($D$37&lt;&gt;"",$D$37,IF((IF(E62="",IF($D$35="",0,$D$35),E62))=0,0,E52/(IF(E62="",IF($D$35="",0,$D$35),E62)))))))*(IF(E62="",IF($D$35="",0,$D$35),E62))))</f>
        <v>0</v>
      </c>
      <c r="K93" s="75" t="n">
        <f aca="false">IF(I93="","",I93+J93)</f>
        <v>160815.993470899</v>
      </c>
      <c r="L93" s="75" t="n">
        <f aca="false">IF(F52="","",IF(8&gt;IF(F55="",10,F55),"",F52*(1+IF(F53="",0,F53))^ROUNDDOWN((8-1)/IF(F54="",5,F54),0)))</f>
        <v>184481.079813731</v>
      </c>
      <c r="M93" s="75" t="n">
        <f aca="false">IF(L93="","",IF((IF(F62="",IF($D$35="",0,$D$35),F62))=0,0,MAX(0,3042462.33-(IF(F63&lt;&gt;"",F63,IF($D$37&lt;&gt;"",$D$37,IF((IF(F62="",IF($D$35="",0,$D$35),F62))=0,0,F52/(IF(F62="",IF($D$35="",0,$D$35),F62)))))))*(IF(F62="",IF($D$35="",0,$D$35),F62))))</f>
        <v>2123.1165</v>
      </c>
      <c r="N93" s="75" t="n">
        <f aca="false">IF(L93="","",L93+M93)</f>
        <v>186604.196313731</v>
      </c>
      <c r="O93" s="75" t="n">
        <f aca="false">IF(G52="","",IF(8&gt;IF(G55="",10,G55),"",G52*(1+IF(G53="",0,G53))^ROUNDDOWN((8-1)/IF(G54="",5,G54),0)))</f>
        <v>148500</v>
      </c>
      <c r="P93" s="75" t="n">
        <f aca="false">IF(O93="","",IF((IF(G62="",IF($D$35="",0,$D$35),G62))=0,0,MAX(0,3042462.33-(IF(G63&lt;&gt;"",G63,IF($D$37&lt;&gt;"",$D$37,IF((IF(G62="",IF($D$35="",0,$D$35),G62))=0,0,G52/(IF(G62="",IF($D$35="",0,$D$35),G62)))))))*(IF(G62="",IF($D$35="",0,$D$35),G62))))</f>
        <v>0</v>
      </c>
      <c r="Q93" s="75" t="n">
        <f aca="false">IF(O93="","",O93+P93)</f>
        <v>148500</v>
      </c>
      <c r="R93" s="75" t="str">
        <f aca="false">IF(H52="","",IF(8&gt;IF(H55="",10,H55),"",H52*(1+IF(H53="",0,H53))^ROUNDDOWN((8-1)/IF(H54="",5,H54),0)))</f>
        <v/>
      </c>
      <c r="S93" s="75" t="str">
        <f aca="false">IF(R93="","",IF((IF(H62="",IF($D$35="",0,$D$35),H62))=0,0,MAX(0,3042462.33-(IF(H63&lt;&gt;"",H63,IF($D$37&lt;&gt;"",$D$37,IF((IF(H62="",IF($D$35="",0,$D$35),H62))=0,0,H52/(IF(H62="",IF($D$35="",0,$D$35),H62)))))))*(IF(H62="",IF($D$35="",0,$D$35),H62))))</f>
        <v/>
      </c>
      <c r="T93" s="75" t="str">
        <f aca="false">IF(R93="","",R93+S93)</f>
        <v/>
      </c>
    </row>
    <row r="94" customFormat="false" ht="15" hidden="false" customHeight="false" outlineLevel="0" collapsed="false">
      <c r="A94" s="74" t="n">
        <v>9</v>
      </c>
      <c r="B94" s="75" t="n">
        <v>3103312</v>
      </c>
      <c r="C94" s="76" t="n">
        <v>53046</v>
      </c>
      <c r="D94" s="83" t="n">
        <v>110041</v>
      </c>
      <c r="E94" s="76" t="n">
        <v>163087</v>
      </c>
      <c r="F94" s="75" t="n">
        <f aca="false">IF(D52="","",IF(9&gt;IF(D55="",10,D55),"",D52*(1+IF(D53="",0,D53))^ROUNDDOWN((9-1)/IF(D54="",5,D54),0)))</f>
        <v>154000</v>
      </c>
      <c r="G94" s="75" t="n">
        <f aca="false">IF(F94="","",IF((IF(D62="",IF($D$35="",0,$D$35),D62))=0,0,MAX(0,3103311.58-(IF(D63&lt;&gt;"",D63,IF($D$37&lt;&gt;"",$D$37,IF((IF(D62="",IF($D$35="",0,$D$35),D62))=0,0,D52/(IF(D62="",IF($D$35="",0,$D$35),D62)))))))*(IF(D62="",IF($D$35="",0,$D$35),D62))))</f>
        <v>0</v>
      </c>
      <c r="H94" s="75" t="n">
        <f aca="false">IF(F94="","",F94+G94)</f>
        <v>154000</v>
      </c>
      <c r="I94" s="75" t="n">
        <f aca="false">IF(E52="","",IF(9&gt;IF(E55="",10,E55),"",E52*(1+IF(E53="",0,E53))^ROUNDDOWN((9-1)/IF(E54="",5,E54),0)))</f>
        <v>164032.313340317</v>
      </c>
      <c r="J94" s="75" t="n">
        <f aca="false">IF(I94="","",IF((IF(E62="",IF($D$35="",0,$D$35),E62))=0,0,MAX(0,3103311.58-(IF(E63&lt;&gt;"",E63,IF($D$37&lt;&gt;"",$D$37,IF((IF(E62="",IF($D$35="",0,$D$35),E62))=0,0,E52/(IF(E62="",IF($D$35="",0,$D$35),E62)))))))*(IF(E62="",IF($D$35="",0,$D$35),E62))))</f>
        <v>0</v>
      </c>
      <c r="K94" s="75" t="n">
        <f aca="false">IF(I94="","",I94+J94)</f>
        <v>164032.313340317</v>
      </c>
      <c r="L94" s="75" t="n">
        <f aca="false">IF(F52="","",IF(9&gt;IF(F55="",10,F55),"",F52*(1+IF(F53="",0,F53))^ROUNDDOWN((9-1)/IF(F54="",5,F54),0)))</f>
        <v>190015.512208142</v>
      </c>
      <c r="M94" s="75" t="n">
        <f aca="false">IF(L94="","",IF((IF(F62="",IF($D$35="",0,$D$35),F62))=0,0,MAX(0,3103311.58-(IF(F63&lt;&gt;"",F63,IF($D$37&lt;&gt;"",$D$37,IF((IF(F62="",IF($D$35="",0,$D$35),F62))=0,0,F52/(IF(F62="",IF($D$35="",0,$D$35),F62)))))))*(IF(F62="",IF($D$35="",0,$D$35),F62))))</f>
        <v>5165.579</v>
      </c>
      <c r="N94" s="75" t="n">
        <f aca="false">IF(L94="","",L94+M94)</f>
        <v>195181.091208142</v>
      </c>
      <c r="O94" s="75" t="n">
        <f aca="false">IF(G52="","",IF(9&gt;IF(G55="",10,G55),"",G52*(1+IF(G53="",0,G53))^ROUNDDOWN((9-1)/IF(G54="",5,G54),0)))</f>
        <v>148500</v>
      </c>
      <c r="P94" s="75" t="n">
        <f aca="false">IF(O94="","",IF((IF(G62="",IF($D$35="",0,$D$35),G62))=0,0,MAX(0,3103311.58-(IF(G63&lt;&gt;"",G63,IF($D$37&lt;&gt;"",$D$37,IF((IF(G62="",IF($D$35="",0,$D$35),G62))=0,0,G52/(IF(G62="",IF($D$35="",0,$D$35),G62)))))))*(IF(G62="",IF($D$35="",0,$D$35),G62))))</f>
        <v>0</v>
      </c>
      <c r="Q94" s="75" t="n">
        <f aca="false">IF(O94="","",O94+P94)</f>
        <v>148500</v>
      </c>
      <c r="R94" s="75" t="str">
        <f aca="false">IF(H52="","",IF(9&gt;IF(H55="",10,H55),"",H52*(1+IF(H53="",0,H53))^ROUNDDOWN((9-1)/IF(H54="",5,H54),0)))</f>
        <v/>
      </c>
      <c r="S94" s="75" t="str">
        <f aca="false">IF(R94="","",IF((IF(H62="",IF($D$35="",0,$D$35),H62))=0,0,MAX(0,3103311.58-(IF(H63&lt;&gt;"",H63,IF($D$37&lt;&gt;"",$D$37,IF((IF(H62="",IF($D$35="",0,$D$35),H62))=0,0,H52/(IF(H62="",IF($D$35="",0,$D$35),H62)))))))*(IF(H62="",IF($D$35="",0,$D$35),H62))))</f>
        <v/>
      </c>
      <c r="T94" s="75" t="str">
        <f aca="false">IF(R94="","",R94+S94)</f>
        <v/>
      </c>
    </row>
    <row r="95" customFormat="false" ht="15" hidden="false" customHeight="false" outlineLevel="0" collapsed="false">
      <c r="A95" s="74" t="n">
        <v>10</v>
      </c>
      <c r="B95" s="75" t="n">
        <v>3165378</v>
      </c>
      <c r="C95" s="76" t="n">
        <v>53046</v>
      </c>
      <c r="D95" s="83" t="n">
        <v>113145</v>
      </c>
      <c r="E95" s="76" t="n">
        <v>166191</v>
      </c>
      <c r="F95" s="75" t="n">
        <f aca="false">IF(D52="","",IF(10&gt;IF(D55="",10,D55),"",D52*(1+IF(D53="",0,D53))^ROUNDDOWN((10-1)/IF(D54="",5,D54),0)))</f>
        <v>154000</v>
      </c>
      <c r="G95" s="75" t="n">
        <f aca="false">IF(F95="","",IF((IF(D62="",IF($D$35="",0,$D$35),D62))=0,0,MAX(0,3165377.81-(IF(D63&lt;&gt;"",D63,IF($D$37&lt;&gt;"",$D$37,IF((IF(D62="",IF($D$35="",0,$D$35),D62))=0,0,D52/(IF(D62="",IF($D$35="",0,$D$35),D62)))))))*(IF(D62="",IF($D$35="",0,$D$35),D62))))</f>
        <v>0</v>
      </c>
      <c r="H95" s="75" t="n">
        <f aca="false">IF(F95="","",F95+G95)</f>
        <v>154000</v>
      </c>
      <c r="I95" s="75" t="n">
        <f aca="false">IF(E52="","",IF(10&gt;IF(E55="",10,E55),"",E52*(1+IF(E53="",0,E53))^ROUNDDOWN((10-1)/IF(E54="",5,E54),0)))</f>
        <v>167312.959607124</v>
      </c>
      <c r="J95" s="75" t="n">
        <f aca="false">IF(I95="","",IF((IF(E62="",IF($D$35="",0,$D$35),E62))=0,0,MAX(0,3165377.81-(IF(E63&lt;&gt;"",E63,IF($D$37&lt;&gt;"",$D$37,IF((IF(E62="",IF($D$35="",0,$D$35),E62))=0,0,E52/(IF(E62="",IF($D$35="",0,$D$35),E62)))))))*(IF(E62="",IF($D$35="",0,$D$35),E62))))</f>
        <v>0</v>
      </c>
      <c r="K95" s="75" t="n">
        <f aca="false">IF(I95="","",I95+J95)</f>
        <v>167312.959607124</v>
      </c>
      <c r="L95" s="75" t="n">
        <f aca="false">IF(F52="","",IF(10&gt;IF(F55="",10,F55),"",F52*(1+IF(F53="",0,F53))^ROUNDDOWN((10-1)/IF(F54="",5,F54),0)))</f>
        <v>195715.977574387</v>
      </c>
      <c r="M95" s="75" t="n">
        <f aca="false">IF(L95="","",IF((IF(F62="",IF($D$35="",0,$D$35),F62))=0,0,MAX(0,3165377.81-(IF(F63&lt;&gt;"",F63,IF($D$37&lt;&gt;"",$D$37,IF((IF(F62="",IF($D$35="",0,$D$35),F62))=0,0,F52/(IF(F62="",IF($D$35="",0,$D$35),F62)))))))*(IF(F62="",IF($D$35="",0,$D$35),F62))))</f>
        <v>8268.8905</v>
      </c>
      <c r="N95" s="75" t="n">
        <f aca="false">IF(L95="","",L95+M95)</f>
        <v>203984.868074387</v>
      </c>
      <c r="O95" s="75" t="n">
        <f aca="false">IF(G52="","",IF(10&gt;IF(G55="",10,G55),"",G52*(1+IF(G53="",0,G53))^ROUNDDOWN((10-1)/IF(G54="",5,G54),0)))</f>
        <v>148500</v>
      </c>
      <c r="P95" s="75" t="n">
        <f aca="false">IF(O95="","",IF((IF(G62="",IF($D$35="",0,$D$35),G62))=0,0,MAX(0,3165377.81-(IF(G63&lt;&gt;"",G63,IF($D$37&lt;&gt;"",$D$37,IF((IF(G62="",IF($D$35="",0,$D$35),G62))=0,0,G52/(IF(G62="",IF($D$35="",0,$D$35),G62)))))))*(IF(G62="",IF($D$35="",0,$D$35),G62))))</f>
        <v>0</v>
      </c>
      <c r="Q95" s="75" t="n">
        <f aca="false">IF(O95="","",O95+P95)</f>
        <v>148500</v>
      </c>
      <c r="R95" s="75" t="str">
        <f aca="false">IF(H52="","",IF(10&gt;IF(H55="",10,H55),"",H52*(1+IF(H53="",0,H53))^ROUNDDOWN((10-1)/IF(H54="",5,H54),0)))</f>
        <v/>
      </c>
      <c r="S95" s="75" t="str">
        <f aca="false">IF(R95="","",IF((IF(H62="",IF($D$35="",0,$D$35),H62))=0,0,MAX(0,3165377.81-(IF(H63&lt;&gt;"",H63,IF($D$37&lt;&gt;"",$D$37,IF((IF(H62="",IF($D$35="",0,$D$35),H62))=0,0,H52/(IF(H62="",IF($D$35="",0,$D$35),H62)))))))*(IF(H62="",IF($D$35="",0,$D$35),H62))))</f>
        <v/>
      </c>
      <c r="T95" s="75" t="str">
        <f aca="false">IF(R95="","",R95+S95)</f>
        <v/>
      </c>
    </row>
    <row r="96" customFormat="false" ht="15" hidden="false" customHeight="false" outlineLevel="0" collapsed="false">
      <c r="A96" s="74" t="n">
        <v>11</v>
      </c>
      <c r="B96" s="75" t="n">
        <v>3228685</v>
      </c>
      <c r="C96" s="76" t="n">
        <v>58565</v>
      </c>
      <c r="D96" s="83" t="n">
        <v>116310</v>
      </c>
      <c r="E96" s="76" t="n">
        <v>174875</v>
      </c>
      <c r="F96" s="75" t="n">
        <f aca="false">IF(D52="","",IF(11&gt;IF(D55="",10,D55),"",D52*(1+IF(D53="",0,D53))^ROUNDDOWN((11-1)/IF(D54="",5,D54),0)))</f>
        <v>169400</v>
      </c>
      <c r="G96" s="75" t="n">
        <f aca="false">IF(F96="","",IF((IF(D62="",IF($D$35="",0,$D$35),D62))=0,0,MAX(0,3228685.36-(IF(D63&lt;&gt;"",D63,IF($D$37&lt;&gt;"",$D$37,IF((IF(D62="",IF($D$35="",0,$D$35),D62))=0,0,D52/(IF(D62="",IF($D$35="",0,$D$35),D62)))))))*(IF(D62="",IF($D$35="",0,$D$35),D62))))</f>
        <v>1434.26799999999</v>
      </c>
      <c r="H96" s="75" t="n">
        <f aca="false">IF(F96="","",F96+G96)</f>
        <v>170834.268</v>
      </c>
      <c r="I96" s="75" t="n">
        <f aca="false">IF(E52="","",IF(11&gt;IF(E55="",10,E55),"",E52*(1+IF(E53="",0,E53))^ROUNDDOWN((11-1)/IF(E54="",5,E54),0)))</f>
        <v>170659.218799266</v>
      </c>
      <c r="J96" s="75" t="n">
        <f aca="false">IF(I96="","",IF((IF(E62="",IF($D$35="",0,$D$35),E62))=0,0,MAX(0,3228685.36-(IF(E63&lt;&gt;"",E63,IF($D$37&lt;&gt;"",$D$37,IF((IF(E62="",IF($D$35="",0,$D$35),E62))=0,0,E52/(IF(E62="",IF($D$35="",0,$D$35),E62)))))))*(IF(E62="",IF($D$35="",0,$D$35),E62))))</f>
        <v>1434.26799999999</v>
      </c>
      <c r="K96" s="75" t="n">
        <f aca="false">IF(I96="","",I96+J96)</f>
        <v>172093.486799266</v>
      </c>
      <c r="L96" s="75" t="n">
        <f aca="false">IF(F52="","",IF(11&gt;IF(F55="",10,F55),"",F52*(1+IF(F53="",0,F53))^ROUNDDOWN((11-1)/IF(F54="",5,F54),0)))</f>
        <v>201587.456901618</v>
      </c>
      <c r="M96" s="75" t="n">
        <f aca="false">IF(L96="","",IF((IF(F62="",IF($D$35="",0,$D$35),F62))=0,0,MAX(0,3228685.36-(IF(F63&lt;&gt;"",F63,IF($D$37&lt;&gt;"",$D$37,IF((IF(F62="",IF($D$35="",0,$D$35),F62))=0,0,F52/(IF(F62="",IF($D$35="",0,$D$35),F62)))))))*(IF(F62="",IF($D$35="",0,$D$35),F62))))</f>
        <v>11434.268</v>
      </c>
      <c r="N96" s="75" t="n">
        <f aca="false">IF(L96="","",L96+M96)</f>
        <v>213021.724901618</v>
      </c>
      <c r="O96" s="75" t="n">
        <f aca="false">IF(G52="","",IF(11&gt;IF(G55="",10,G55),"",G52*(1+IF(G53="",0,G53))^ROUNDDOWN((11-1)/IF(G54="",5,G54),0)))</f>
        <v>163350</v>
      </c>
      <c r="P96" s="75" t="n">
        <f aca="false">IF(O96="","",IF((IF(G62="",IF($D$35="",0,$D$35),G62))=0,0,MAX(0,3228685.36-(IF(G63&lt;&gt;"",G63,IF($D$37&lt;&gt;"",$D$37,IF((IF(G62="",IF($D$35="",0,$D$35),G62))=0,0,G52/(IF(G62="",IF($D$35="",0,$D$35),G62)))))))*(IF(G62="",IF($D$35="",0,$D$35),G62))))</f>
        <v>0</v>
      </c>
      <c r="Q96" s="75" t="n">
        <f aca="false">IF(O96="","",O96+P96)</f>
        <v>163350</v>
      </c>
      <c r="R96" s="75" t="str">
        <f aca="false">IF(H52="","",IF(11&gt;IF(H55="",10,H55),"",H52*(1+IF(H53="",0,H53))^ROUNDDOWN((11-1)/IF(H54="",5,H54),0)))</f>
        <v/>
      </c>
      <c r="S96" s="75" t="str">
        <f aca="false">IF(R96="","",IF((IF(H62="",IF($D$35="",0,$D$35),H62))=0,0,MAX(0,3228685.36-(IF(H63&lt;&gt;"",H63,IF($D$37&lt;&gt;"",$D$37,IF((IF(H62="",IF($D$35="",0,$D$35),H62))=0,0,H52/(IF(H62="",IF($D$35="",0,$D$35),H62)))))))*(IF(H62="",IF($D$35="",0,$D$35),H62))))</f>
        <v/>
      </c>
      <c r="T96" s="75" t="str">
        <f aca="false">IF(R96="","",R96+S96)</f>
        <v/>
      </c>
    </row>
    <row r="97" customFormat="false" ht="15" hidden="false" customHeight="false" outlineLevel="0" collapsed="false">
      <c r="A97" s="74" t="n">
        <v>12</v>
      </c>
      <c r="B97" s="75" t="n">
        <v>3293259</v>
      </c>
      <c r="C97" s="76" t="n">
        <v>58565</v>
      </c>
      <c r="D97" s="83" t="n">
        <v>119539</v>
      </c>
      <c r="E97" s="76" t="n">
        <v>178104</v>
      </c>
      <c r="F97" s="75" t="n">
        <f aca="false">IF(D52="","",IF(12&gt;IF(D55="",10,D55),"",D52*(1+IF(D53="",0,D53))^ROUNDDOWN((12-1)/IF(D54="",5,D54),0)))</f>
        <v>169400</v>
      </c>
      <c r="G97" s="75" t="n">
        <f aca="false">IF(F97="","",IF((IF(D62="",IF($D$35="",0,$D$35),D62))=0,0,MAX(0,3293259.07-(IF(D63&lt;&gt;"",D63,IF($D$37&lt;&gt;"",$D$37,IF((IF(D62="",IF($D$35="",0,$D$35),D62))=0,0,D52/(IF(D62="",IF($D$35="",0,$D$35),D62)))))))*(IF(D62="",IF($D$35="",0,$D$35),D62))))</f>
        <v>4662.95349999999</v>
      </c>
      <c r="H97" s="75" t="n">
        <f aca="false">IF(F97="","",F97+G97)</f>
        <v>174062.9535</v>
      </c>
      <c r="I97" s="75" t="n">
        <f aca="false">IF(E52="","",IF(12&gt;IF(E55="",10,E55),"",E52*(1+IF(E53="",0,E53))^ROUNDDOWN((12-1)/IF(E54="",5,E54),0)))</f>
        <v>174072.403175251</v>
      </c>
      <c r="J97" s="75" t="n">
        <f aca="false">IF(I97="","",IF((IF(E62="",IF($D$35="",0,$D$35),E62))=0,0,MAX(0,3293259.07-(IF(E63&lt;&gt;"",E63,IF($D$37&lt;&gt;"",$D$37,IF((IF(E62="",IF($D$35="",0,$D$35),E62))=0,0,E52/(IF(E62="",IF($D$35="",0,$D$35),E62)))))))*(IF(E62="",IF($D$35="",0,$D$35),E62))))</f>
        <v>4662.95349999999</v>
      </c>
      <c r="K97" s="75" t="n">
        <f aca="false">IF(I97="","",I97+J97)</f>
        <v>178735.356675251</v>
      </c>
      <c r="L97" s="75" t="n">
        <f aca="false">IF(F52="","",IF(12&gt;IF(F55="",10,F55),"",F52*(1+IF(F53="",0,F53))^ROUNDDOWN((12-1)/IF(F54="",5,F54),0)))</f>
        <v>207635.080608667</v>
      </c>
      <c r="M97" s="75" t="n">
        <f aca="false">IF(L97="","",IF((IF(F62="",IF($D$35="",0,$D$35),F62))=0,0,MAX(0,3293259.07-(IF(F63&lt;&gt;"",F63,IF($D$37&lt;&gt;"",$D$37,IF((IF(F62="",IF($D$35="",0,$D$35),F62))=0,0,F52/(IF(F62="",IF($D$35="",0,$D$35),F62)))))))*(IF(F62="",IF($D$35="",0,$D$35),F62))))</f>
        <v>14662.9535</v>
      </c>
      <c r="N97" s="75" t="n">
        <f aca="false">IF(L97="","",L97+M97)</f>
        <v>222298.034108667</v>
      </c>
      <c r="O97" s="75" t="n">
        <f aca="false">IF(G52="","",IF(12&gt;IF(G55="",10,G55),"",G52*(1+IF(G53="",0,G53))^ROUNDDOWN((12-1)/IF(G54="",5,G54),0)))</f>
        <v>163350</v>
      </c>
      <c r="P97" s="75" t="n">
        <f aca="false">IF(O97="","",IF((IF(G62="",IF($D$35="",0,$D$35),G62))=0,0,MAX(0,3293259.07-(IF(G63&lt;&gt;"",G63,IF($D$37&lt;&gt;"",$D$37,IF((IF(G62="",IF($D$35="",0,$D$35),G62))=0,0,G52/(IF(G62="",IF($D$35="",0,$D$35),G62)))))))*(IF(G62="",IF($D$35="",0,$D$35),G62))))</f>
        <v>0</v>
      </c>
      <c r="Q97" s="75" t="n">
        <f aca="false">IF(O97="","",O97+P97)</f>
        <v>163350</v>
      </c>
      <c r="R97" s="75" t="str">
        <f aca="false">IF(H52="","",IF(12&gt;IF(H55="",10,H55),"",H52*(1+IF(H53="",0,H53))^ROUNDDOWN((12-1)/IF(H54="",5,H54),0)))</f>
        <v/>
      </c>
      <c r="S97" s="75" t="str">
        <f aca="false">IF(R97="","",IF((IF(H62="",IF($D$35="",0,$D$35),H62))=0,0,MAX(0,3293259.07-(IF(H63&lt;&gt;"",H63,IF($D$37&lt;&gt;"",$D$37,IF((IF(H62="",IF($D$35="",0,$D$35),H62))=0,0,H52/(IF(H62="",IF($D$35="",0,$D$35),H62)))))))*(IF(H62="",IF($D$35="",0,$D$35),H62))))</f>
        <v/>
      </c>
      <c r="T97" s="75" t="str">
        <f aca="false">IF(R97="","",R97+S97)</f>
        <v/>
      </c>
    </row>
    <row r="98" customFormat="false" ht="15" hidden="false" customHeight="false" outlineLevel="0" collapsed="false">
      <c r="A98" s="74" t="n">
        <v>13</v>
      </c>
      <c r="B98" s="75" t="n">
        <v>3359124</v>
      </c>
      <c r="C98" s="76" t="n">
        <v>58565</v>
      </c>
      <c r="D98" s="83" t="n">
        <v>122832</v>
      </c>
      <c r="E98" s="76" t="n">
        <v>181397</v>
      </c>
      <c r="F98" s="75" t="n">
        <f aca="false">IF(D52="","",IF(13&gt;IF(D55="",10,D55),"",D52*(1+IF(D53="",0,D53))^ROUNDDOWN((13-1)/IF(D54="",5,D54),0)))</f>
        <v>169400</v>
      </c>
      <c r="G98" s="75" t="n">
        <f aca="false">IF(F98="","",IF((IF(D62="",IF($D$35="",0,$D$35),D62))=0,0,MAX(0,3359124.25-(IF(D63&lt;&gt;"",D63,IF($D$37&lt;&gt;"",$D$37,IF((IF(D62="",IF($D$35="",0,$D$35),D62))=0,0,D52/(IF(D62="",IF($D$35="",0,$D$35),D62)))))))*(IF(D62="",IF($D$35="",0,$D$35),D62))))</f>
        <v>7956.2125</v>
      </c>
      <c r="H98" s="75" t="n">
        <f aca="false">IF(F98="","",F98+G98)</f>
        <v>177356.2125</v>
      </c>
      <c r="I98" s="75" t="n">
        <f aca="false">IF(E52="","",IF(13&gt;IF(E55="",10,E55),"",E52*(1+IF(E53="",0,E53))^ROUNDDOWN((13-1)/IF(E54="",5,E54),0)))</f>
        <v>177553.851238756</v>
      </c>
      <c r="J98" s="75" t="n">
        <f aca="false">IF(I98="","",IF((IF(E62="",IF($D$35="",0,$D$35),E62))=0,0,MAX(0,3359124.25-(IF(E63&lt;&gt;"",E63,IF($D$37&lt;&gt;"",$D$37,IF((IF(E62="",IF($D$35="",0,$D$35),E62))=0,0,E52/(IF(E62="",IF($D$35="",0,$D$35),E62)))))))*(IF(E62="",IF($D$35="",0,$D$35),E62))))</f>
        <v>7956.2125</v>
      </c>
      <c r="K98" s="75" t="n">
        <f aca="false">IF(I98="","",I98+J98)</f>
        <v>185510.063738756</v>
      </c>
      <c r="L98" s="75" t="n">
        <f aca="false">IF(F52="","",IF(13&gt;IF(F55="",10,F55),"",F52*(1+IF(F53="",0,F53))^ROUNDDOWN((13-1)/IF(F54="",5,F54),0)))</f>
        <v>213864.133026927</v>
      </c>
      <c r="M98" s="75" t="n">
        <f aca="false">IF(L98="","",IF((IF(F62="",IF($D$35="",0,$D$35),F62))=0,0,MAX(0,3359124.25-(IF(F63&lt;&gt;"",F63,IF($D$37&lt;&gt;"",$D$37,IF((IF(F62="",IF($D$35="",0,$D$35),F62))=0,0,F52/(IF(F62="",IF($D$35="",0,$D$35),F62)))))))*(IF(F62="",IF($D$35="",0,$D$35),F62))))</f>
        <v>17956.2125</v>
      </c>
      <c r="N98" s="75" t="n">
        <f aca="false">IF(L98="","",L98+M98)</f>
        <v>231820.345526927</v>
      </c>
      <c r="O98" s="75" t="n">
        <f aca="false">IF(G52="","",IF(13&gt;IF(G55="",10,G55),"",G52*(1+IF(G53="",0,G53))^ROUNDDOWN((13-1)/IF(G54="",5,G54),0)))</f>
        <v>163350</v>
      </c>
      <c r="P98" s="75" t="n">
        <f aca="false">IF(O98="","",IF((IF(G62="",IF($D$35="",0,$D$35),G62))=0,0,MAX(0,3359124.25-(IF(G63&lt;&gt;"",G63,IF($D$37&lt;&gt;"",$D$37,IF((IF(G62="",IF($D$35="",0,$D$35),G62))=0,0,G52/(IF(G62="",IF($D$35="",0,$D$35),G62)))))))*(IF(G62="",IF($D$35="",0,$D$35),G62))))</f>
        <v>0</v>
      </c>
      <c r="Q98" s="75" t="n">
        <f aca="false">IF(O98="","",O98+P98)</f>
        <v>163350</v>
      </c>
      <c r="R98" s="75" t="str">
        <f aca="false">IF(H52="","",IF(13&gt;IF(H55="",10,H55),"",H52*(1+IF(H53="",0,H53))^ROUNDDOWN((13-1)/IF(H54="",5,H54),0)))</f>
        <v/>
      </c>
      <c r="S98" s="75" t="str">
        <f aca="false">IF(R98="","",IF((IF(H62="",IF($D$35="",0,$D$35),H62))=0,0,MAX(0,3359124.25-(IF(H63&lt;&gt;"",H63,IF($D$37&lt;&gt;"",$D$37,IF((IF(H62="",IF($D$35="",0,$D$35),H62))=0,0,H52/(IF(H62="",IF($D$35="",0,$D$35),H62)))))))*(IF(H62="",IF($D$35="",0,$D$35),H62))))</f>
        <v/>
      </c>
      <c r="T98" s="75" t="str">
        <f aca="false">IF(R98="","",R98+S98)</f>
        <v/>
      </c>
    </row>
    <row r="99" customFormat="false" ht="15" hidden="false" customHeight="false" outlineLevel="0" collapsed="false">
      <c r="A99" s="74" t="n">
        <v>14</v>
      </c>
      <c r="B99" s="75" t="n">
        <v>3426307</v>
      </c>
      <c r="C99" s="76" t="n">
        <v>58565</v>
      </c>
      <c r="D99" s="83" t="n">
        <v>126191</v>
      </c>
      <c r="E99" s="76" t="n">
        <v>184756</v>
      </c>
      <c r="F99" s="75" t="n">
        <f aca="false">IF(D52="","",IF(14&gt;IF(D55="",10,D55),"",D52*(1+IF(D53="",0,D53))^ROUNDDOWN((14-1)/IF(D54="",5,D54),0)))</f>
        <v>169400</v>
      </c>
      <c r="G99" s="75" t="n">
        <f aca="false">IF(F99="","",IF((IF(D62="",IF($D$35="",0,$D$35),D62))=0,0,MAX(0,3426306.74-(IF(D63&lt;&gt;"",D63,IF($D$37&lt;&gt;"",$D$37,IF((IF(D62="",IF($D$35="",0,$D$35),D62))=0,0,D52/(IF(D62="",IF($D$35="",0,$D$35),D62)))))))*(IF(D62="",IF($D$35="",0,$D$35),D62))))</f>
        <v>11315.337</v>
      </c>
      <c r="H99" s="75" t="n">
        <f aca="false">IF(F99="","",F99+G99)</f>
        <v>180715.337</v>
      </c>
      <c r="I99" s="75" t="n">
        <f aca="false">IF(E52="","",IF(14&gt;IF(E55="",10,E55),"",E52*(1+IF(E53="",0,E53))^ROUNDDOWN((14-1)/IF(E54="",5,E54),0)))</f>
        <v>181104.928263532</v>
      </c>
      <c r="J99" s="75" t="n">
        <f aca="false">IF(I99="","",IF((IF(E62="",IF($D$35="",0,$D$35),E62))=0,0,MAX(0,3426306.74-(IF(E63&lt;&gt;"",E63,IF($D$37&lt;&gt;"",$D$37,IF((IF(E62="",IF($D$35="",0,$D$35),E62))=0,0,E52/(IF(E62="",IF($D$35="",0,$D$35),E62)))))))*(IF(E62="",IF($D$35="",0,$D$35),E62))))</f>
        <v>11315.337</v>
      </c>
      <c r="K99" s="75" t="n">
        <f aca="false">IF(I99="","",I99+J99)</f>
        <v>192420.265263532</v>
      </c>
      <c r="L99" s="75" t="n">
        <f aca="false">IF(F52="","",IF(14&gt;IF(F55="",10,F55),"",F52*(1+IF(F53="",0,F53))^ROUNDDOWN((14-1)/IF(F54="",5,F54),0)))</f>
        <v>220280.057017735</v>
      </c>
      <c r="M99" s="75" t="n">
        <f aca="false">IF(L99="","",IF((IF(F62="",IF($D$35="",0,$D$35),F62))=0,0,MAX(0,3426306.74-(IF(F63&lt;&gt;"",F63,IF($D$37&lt;&gt;"",$D$37,IF((IF(F62="",IF($D$35="",0,$D$35),F62))=0,0,F52/(IF(F62="",IF($D$35="",0,$D$35),F62)))))))*(IF(F62="",IF($D$35="",0,$D$35),F62))))</f>
        <v>21315.337</v>
      </c>
      <c r="N99" s="75" t="n">
        <f aca="false">IF(L99="","",L99+M99)</f>
        <v>241595.394017735</v>
      </c>
      <c r="O99" s="75" t="n">
        <f aca="false">IF(G52="","",IF(14&gt;IF(G55="",10,G55),"",G52*(1+IF(G53="",0,G53))^ROUNDDOWN((14-1)/IF(G54="",5,G54),0)))</f>
        <v>163350</v>
      </c>
      <c r="P99" s="75" t="n">
        <f aca="false">IF(O99="","",IF((IF(G62="",IF($D$35="",0,$D$35),G62))=0,0,MAX(0,3426306.74-(IF(G63&lt;&gt;"",G63,IF($D$37&lt;&gt;"",$D$37,IF((IF(G62="",IF($D$35="",0,$D$35),G62))=0,0,G52/(IF(G62="",IF($D$35="",0,$D$35),G62)))))))*(IF(G62="",IF($D$35="",0,$D$35),G62))))</f>
        <v>0</v>
      </c>
      <c r="Q99" s="75" t="n">
        <f aca="false">IF(O99="","",O99+P99)</f>
        <v>163350</v>
      </c>
      <c r="R99" s="75" t="str">
        <f aca="false">IF(H52="","",IF(14&gt;IF(H55="",10,H55),"",H52*(1+IF(H53="",0,H53))^ROUNDDOWN((14-1)/IF(H54="",5,H54),0)))</f>
        <v/>
      </c>
      <c r="S99" s="75" t="str">
        <f aca="false">IF(R99="","",IF((IF(H62="",IF($D$35="",0,$D$35),H62))=0,0,MAX(0,3426306.74-(IF(H63&lt;&gt;"",H63,IF($D$37&lt;&gt;"",$D$37,IF((IF(H62="",IF($D$35="",0,$D$35),H62))=0,0,H52/(IF(H62="",IF($D$35="",0,$D$35),H62)))))))*(IF(H62="",IF($D$35="",0,$D$35),H62))))</f>
        <v/>
      </c>
      <c r="T99" s="75" t="str">
        <f aca="false">IF(R99="","",R99+S99)</f>
        <v/>
      </c>
    </row>
    <row r="100" customFormat="false" ht="15" hidden="false" customHeight="false" outlineLevel="0" collapsed="false">
      <c r="A100" s="74" t="n">
        <v>15</v>
      </c>
      <c r="B100" s="75" t="n">
        <v>3494833</v>
      </c>
      <c r="C100" s="76" t="n">
        <v>58565</v>
      </c>
      <c r="D100" s="83" t="n">
        <v>129618</v>
      </c>
      <c r="E100" s="76" t="n">
        <v>188182</v>
      </c>
      <c r="F100" s="75" t="n">
        <f aca="false">IF(D52="","",IF(15&gt;IF(D55="",10,D55),"",D52*(1+IF(D53="",0,D53))^ROUNDDOWN((15-1)/IF(D54="",5,D54),0)))</f>
        <v>169400</v>
      </c>
      <c r="G100" s="75" t="n">
        <f aca="false">IF(F100="","",IF((IF(D62="",IF($D$35="",0,$D$35),D62))=0,0,MAX(0,3494832.87-(IF(D63&lt;&gt;"",D63,IF($D$37&lt;&gt;"",$D$37,IF((IF(D62="",IF($D$35="",0,$D$35),D62))=0,0,D52/(IF(D62="",IF($D$35="",0,$D$35),D62)))))))*(IF(D62="",IF($D$35="",0,$D$35),D62))))</f>
        <v>14741.6435</v>
      </c>
      <c r="H100" s="75" t="n">
        <f aca="false">IF(F100="","",F100+G100)</f>
        <v>184141.6435</v>
      </c>
      <c r="I100" s="75" t="n">
        <f aca="false">IF(E52="","",IF(15&gt;IF(E55="",10,E55),"",E52*(1+IF(E53="",0,E53))^ROUNDDOWN((15-1)/IF(E54="",5,E54),0)))</f>
        <v>184727.026828802</v>
      </c>
      <c r="J100" s="75" t="n">
        <f aca="false">IF(I100="","",IF((IF(E62="",IF($D$35="",0,$D$35),E62))=0,0,MAX(0,3494832.87-(IF(E63&lt;&gt;"",E63,IF($D$37&lt;&gt;"",$D$37,IF((IF(E62="",IF($D$35="",0,$D$35),E62))=0,0,E52/(IF(E62="",IF($D$35="",0,$D$35),E62)))))))*(IF(E62="",IF($D$35="",0,$D$35),E62))))</f>
        <v>14741.6435</v>
      </c>
      <c r="K100" s="75" t="n">
        <f aca="false">IF(I100="","",I100+J100)</f>
        <v>199468.670328802</v>
      </c>
      <c r="L100" s="75" t="n">
        <f aca="false">IF(F52="","",IF(15&gt;IF(F55="",10,F55),"",F52*(1+IF(F53="",0,F53))^ROUNDDOWN((15-1)/IF(F54="",5,F54),0)))</f>
        <v>226888.458728267</v>
      </c>
      <c r="M100" s="75" t="n">
        <f aca="false">IF(L100="","",IF((IF(F62="",IF($D$35="",0,$D$35),F62))=0,0,MAX(0,3494832.87-(IF(F63&lt;&gt;"",F63,IF($D$37&lt;&gt;"",$D$37,IF((IF(F62="",IF($D$35="",0,$D$35),F62))=0,0,F52/(IF(F62="",IF($D$35="",0,$D$35),F62)))))))*(IF(F62="",IF($D$35="",0,$D$35),F62))))</f>
        <v>24741.6435</v>
      </c>
      <c r="N100" s="75" t="n">
        <f aca="false">IF(L100="","",L100+M100)</f>
        <v>251630.102228267</v>
      </c>
      <c r="O100" s="75" t="n">
        <f aca="false">IF(G52="","",IF(15&gt;IF(G55="",10,G55),"",G52*(1+IF(G53="",0,G53))^ROUNDDOWN((15-1)/IF(G54="",5,G54),0)))</f>
        <v>163350</v>
      </c>
      <c r="P100" s="75" t="n">
        <f aca="false">IF(O100="","",IF((IF(G62="",IF($D$35="",0,$D$35),G62))=0,0,MAX(0,3494832.87-(IF(G63&lt;&gt;"",G63,IF($D$37&lt;&gt;"",$D$37,IF((IF(G62="",IF($D$35="",0,$D$35),G62))=0,0,G52/(IF(G62="",IF($D$35="",0,$D$35),G62)))))))*(IF(G62="",IF($D$35="",0,$D$35),G62))))</f>
        <v>0</v>
      </c>
      <c r="Q100" s="75" t="n">
        <f aca="false">IF(O100="","",O100+P100)</f>
        <v>163350</v>
      </c>
      <c r="R100" s="75" t="str">
        <f aca="false">IF(H52="","",IF(15&gt;IF(H55="",10,H55),"",H52*(1+IF(H53="",0,H53))^ROUNDDOWN((15-1)/IF(H54="",5,H54),0)))</f>
        <v/>
      </c>
      <c r="S100" s="75" t="str">
        <f aca="false">IF(R100="","",IF((IF(H62="",IF($D$35="",0,$D$35),H62))=0,0,MAX(0,3494832.87-(IF(H63&lt;&gt;"",H63,IF($D$37&lt;&gt;"",$D$37,IF((IF(H62="",IF($D$35="",0,$D$35),H62))=0,0,H52/(IF(H62="",IF($D$35="",0,$D$35),H62)))))))*(IF(H62="",IF($D$35="",0,$D$35),H62))))</f>
        <v/>
      </c>
      <c r="T100" s="75" t="str">
        <f aca="false">IF(R100="","",R100+S100)</f>
        <v/>
      </c>
    </row>
    <row r="101" customFormat="false" ht="15" hidden="false" customHeight="false" outlineLevel="0" collapsed="false">
      <c r="A101" s="74" t="n">
        <v>16</v>
      </c>
      <c r="B101" s="75" t="n">
        <v>3564730</v>
      </c>
      <c r="C101" s="76" t="n">
        <v>64658</v>
      </c>
      <c r="D101" s="83" t="n">
        <v>133112</v>
      </c>
      <c r="E101" s="76" t="n">
        <v>197770</v>
      </c>
      <c r="F101" s="75" t="n">
        <f aca="false">IF(D52="","",IF(16&gt;IF(D55="",10,D55),"",D52*(1+IF(D53="",0,D53))^ROUNDDOWN((16-1)/IF(D54="",5,D54),0)))</f>
        <v>186340</v>
      </c>
      <c r="G101" s="75" t="n">
        <f aca="false">IF(F101="","",IF((IF(D62="",IF($D$35="",0,$D$35),D62))=0,0,MAX(0,3564729.53-(IF(D63&lt;&gt;"",D63,IF($D$37&lt;&gt;"",$D$37,IF((IF(D62="",IF($D$35="",0,$D$35),D62))=0,0,D52/(IF(D62="",IF($D$35="",0,$D$35),D62)))))))*(IF(D62="",IF($D$35="",0,$D$35),D62))))</f>
        <v>18236.4765</v>
      </c>
      <c r="H101" s="75" t="n">
        <f aca="false">IF(F101="","",F101+G101)</f>
        <v>204576.4765</v>
      </c>
      <c r="I101" s="75" t="n">
        <f aca="false">IF(E52="","",IF(16&gt;IF(E55="",10,E55),"",E52*(1+IF(E53="",0,E53))^ROUNDDOWN((16-1)/IF(E54="",5,E54),0)))</f>
        <v>188421.567365378</v>
      </c>
      <c r="J101" s="75" t="n">
        <f aca="false">IF(I101="","",IF((IF(E62="",IF($D$35="",0,$D$35),E62))=0,0,MAX(0,3564729.53-(IF(E63&lt;&gt;"",E63,IF($D$37&lt;&gt;"",$D$37,IF((IF(E62="",IF($D$35="",0,$D$35),E62))=0,0,E52/(IF(E62="",IF($D$35="",0,$D$35),E62)))))))*(IF(E62="",IF($D$35="",0,$D$35),E62))))</f>
        <v>18236.4765</v>
      </c>
      <c r="K101" s="75" t="n">
        <f aca="false">IF(I101="","",I101+J101)</f>
        <v>206658.043865378</v>
      </c>
      <c r="L101" s="75" t="n">
        <f aca="false">IF(F52="","",IF(16&gt;IF(F55="",10,F55),"",F52*(1+IF(F53="",0,F53))^ROUNDDOWN((16-1)/IF(F54="",5,F54),0)))</f>
        <v>233695.112490115</v>
      </c>
      <c r="M101" s="75" t="n">
        <f aca="false">IF(L101="","",IF((IF(F62="",IF($D$35="",0,$D$35),F62))=0,0,MAX(0,3564729.53-(IF(F63&lt;&gt;"",F63,IF($D$37&lt;&gt;"",$D$37,IF((IF(F62="",IF($D$35="",0,$D$35),F62))=0,0,F52/(IF(F62="",IF($D$35="",0,$D$35),F62)))))))*(IF(F62="",IF($D$35="",0,$D$35),F62))))</f>
        <v>28236.4765</v>
      </c>
      <c r="N101" s="75" t="n">
        <f aca="false">IF(L101="","",L101+M101)</f>
        <v>261931.588990115</v>
      </c>
      <c r="O101" s="75" t="str">
        <f aca="false">IF(G52="","",IF(16&gt;IF(G55="",10,G55),"",G52*(1+IF(G53="",0,G53))^ROUNDDOWN((16-1)/IF(G54="",5,G54),0)))</f>
        <v/>
      </c>
      <c r="P101" s="75" t="str">
        <f aca="false">IF(O101="","",IF((IF(G62="",IF($D$35="",0,$D$35),G62))=0,0,MAX(0,3564729.53-(IF(G63&lt;&gt;"",G63,IF($D$37&lt;&gt;"",$D$37,IF((IF(G62="",IF($D$35="",0,$D$35),G62))=0,0,G52/(IF(G62="",IF($D$35="",0,$D$35),G62)))))))*(IF(G62="",IF($D$35="",0,$D$35),G62))))</f>
        <v/>
      </c>
      <c r="Q101" s="75" t="str">
        <f aca="false">IF(O101="","",O101+P101)</f>
        <v/>
      </c>
      <c r="R101" s="75" t="str">
        <f aca="false">IF(H52="","",IF(16&gt;IF(H55="",10,H55),"",H52*(1+IF(H53="",0,H53))^ROUNDDOWN((16-1)/IF(H54="",5,H54),0)))</f>
        <v/>
      </c>
      <c r="S101" s="75" t="str">
        <f aca="false">IF(R101="","",IF((IF(H62="",IF($D$35="",0,$D$35),H62))=0,0,MAX(0,3564729.53-(IF(H63&lt;&gt;"",H63,IF($D$37&lt;&gt;"",$D$37,IF((IF(H62="",IF($D$35="",0,$D$35),H62))=0,0,H52/(IF(H62="",IF($D$35="",0,$D$35),H62)))))))*(IF(H62="",IF($D$35="",0,$D$35),H62))))</f>
        <v/>
      </c>
      <c r="T101" s="75" t="str">
        <f aca="false">IF(R101="","",R101+S101)</f>
        <v/>
      </c>
    </row>
    <row r="102" customFormat="false" ht="15" hidden="false" customHeight="false" outlineLevel="0" collapsed="false">
      <c r="A102" s="74" t="n">
        <v>17</v>
      </c>
      <c r="B102" s="75" t="n">
        <v>3636024</v>
      </c>
      <c r="C102" s="76" t="n">
        <v>64658</v>
      </c>
      <c r="D102" s="83" t="n">
        <v>136677</v>
      </c>
      <c r="E102" s="76" t="n">
        <v>201335</v>
      </c>
      <c r="F102" s="75" t="n">
        <f aca="false">IF(D52="","",IF(17&gt;IF(D55="",10,D55),"",D52*(1+IF(D53="",0,D53))^ROUNDDOWN((17-1)/IF(D54="",5,D54),0)))</f>
        <v>186340</v>
      </c>
      <c r="G102" s="75" t="n">
        <f aca="false">IF(F102="","",IF((IF(D62="",IF($D$35="",0,$D$35),D62))=0,0,MAX(0,3636024.12-(IF(D63&lt;&gt;"",D63,IF($D$37&lt;&gt;"",$D$37,IF((IF(D62="",IF($D$35="",0,$D$35),D62))=0,0,D52/(IF(D62="",IF($D$35="",0,$D$35),D62)))))))*(IF(D62="",IF($D$35="",0,$D$35),D62))))</f>
        <v>21801.206</v>
      </c>
      <c r="H102" s="75" t="n">
        <f aca="false">IF(F102="","",F102+G102)</f>
        <v>208141.206</v>
      </c>
      <c r="I102" s="75" t="n">
        <f aca="false">IF(E52="","",IF(17&gt;IF(E55="",10,E55),"",E52*(1+IF(E53="",0,E53))^ROUNDDOWN((17-1)/IF(E54="",5,E54),0)))</f>
        <v>192189.998712686</v>
      </c>
      <c r="J102" s="75" t="n">
        <f aca="false">IF(I102="","",IF((IF(E62="",IF($D$35="",0,$D$35),E62))=0,0,MAX(0,3636024.12-(IF(E63&lt;&gt;"",E63,IF($D$37&lt;&gt;"",$D$37,IF((IF(E62="",IF($D$35="",0,$D$35),E62))=0,0,E52/(IF(E62="",IF($D$35="",0,$D$35),E62)))))))*(IF(E62="",IF($D$35="",0,$D$35),E62))))</f>
        <v>21801.206</v>
      </c>
      <c r="K102" s="75" t="n">
        <f aca="false">IF(I102="","",I102+J102)</f>
        <v>213991.204712686</v>
      </c>
      <c r="L102" s="75" t="n">
        <f aca="false">IF(F52="","",IF(17&gt;IF(F55="",10,F55),"",F52*(1+IF(F53="",0,F53))^ROUNDDOWN((17-1)/IF(F54="",5,F54),0)))</f>
        <v>240705.965864818</v>
      </c>
      <c r="M102" s="75" t="n">
        <f aca="false">IF(L102="","",IF((IF(F62="",IF($D$35="",0,$D$35),F62))=0,0,MAX(0,3636024.12-(IF(F63&lt;&gt;"",F63,IF($D$37&lt;&gt;"",$D$37,IF((IF(F62="",IF($D$35="",0,$D$35),F62))=0,0,F52/(IF(F62="",IF($D$35="",0,$D$35),F62)))))))*(IF(F62="",IF($D$35="",0,$D$35),F62))))</f>
        <v>31801.206</v>
      </c>
      <c r="N102" s="75" t="n">
        <f aca="false">IF(L102="","",L102+M102)</f>
        <v>272507.171864818</v>
      </c>
      <c r="O102" s="75" t="str">
        <f aca="false">IF(G52="","",IF(17&gt;IF(G55="",10,G55),"",G52*(1+IF(G53="",0,G53))^ROUNDDOWN((17-1)/IF(G54="",5,G54),0)))</f>
        <v/>
      </c>
      <c r="P102" s="75" t="str">
        <f aca="false">IF(O102="","",IF((IF(G62="",IF($D$35="",0,$D$35),G62))=0,0,MAX(0,3636024.12-(IF(G63&lt;&gt;"",G63,IF($D$37&lt;&gt;"",$D$37,IF((IF(G62="",IF($D$35="",0,$D$35),G62))=0,0,G52/(IF(G62="",IF($D$35="",0,$D$35),G62)))))))*(IF(G62="",IF($D$35="",0,$D$35),G62))))</f>
        <v/>
      </c>
      <c r="Q102" s="75" t="str">
        <f aca="false">IF(O102="","",O102+P102)</f>
        <v/>
      </c>
      <c r="R102" s="75" t="str">
        <f aca="false">IF(H52="","",IF(17&gt;IF(H55="",10,H55),"",H52*(1+IF(H53="",0,H53))^ROUNDDOWN((17-1)/IF(H54="",5,H54),0)))</f>
        <v/>
      </c>
      <c r="S102" s="75" t="str">
        <f aca="false">IF(R102="","",IF((IF(H62="",IF($D$35="",0,$D$35),H62))=0,0,MAX(0,3636024.12-(IF(H63&lt;&gt;"",H63,IF($D$37&lt;&gt;"",$D$37,IF((IF(H62="",IF($D$35="",0,$D$35),H62))=0,0,H52/(IF(H62="",IF($D$35="",0,$D$35),H62)))))))*(IF(H62="",IF($D$35="",0,$D$35),H62))))</f>
        <v/>
      </c>
      <c r="T102" s="75" t="str">
        <f aca="false">IF(R102="","",R102+S102)</f>
        <v/>
      </c>
    </row>
    <row r="103" customFormat="false" ht="15" hidden="false" customHeight="false" outlineLevel="0" collapsed="false">
      <c r="A103" s="74" t="n">
        <v>18</v>
      </c>
      <c r="B103" s="75" t="n">
        <v>3708745</v>
      </c>
      <c r="C103" s="76" t="n">
        <v>64658</v>
      </c>
      <c r="D103" s="83" t="n">
        <v>140313</v>
      </c>
      <c r="E103" s="76" t="n">
        <v>204971</v>
      </c>
      <c r="F103" s="75" t="n">
        <f aca="false">IF(D52="","",IF(18&gt;IF(D55="",10,D55),"",D52*(1+IF(D53="",0,D53))^ROUNDDOWN((18-1)/IF(D54="",5,D54),0)))</f>
        <v>186340</v>
      </c>
      <c r="G103" s="75" t="n">
        <f aca="false">IF(F103="","",IF((IF(D62="",IF($D$35="",0,$D$35),D62))=0,0,MAX(0,3708744.6-(IF(D63&lt;&gt;"",D63,IF($D$37&lt;&gt;"",$D$37,IF((IF(D62="",IF($D$35="",0,$D$35),D62))=0,0,D52/(IF(D62="",IF($D$35="",0,$D$35),D62)))))))*(IF(D62="",IF($D$35="",0,$D$35),D62))))</f>
        <v>25437.23</v>
      </c>
      <c r="H103" s="75" t="n">
        <f aca="false">IF(F103="","",F103+G103)</f>
        <v>211777.23</v>
      </c>
      <c r="I103" s="75" t="n">
        <f aca="false">IF(E52="","",IF(18&gt;IF(E55="",10,E55),"",E52*(1+IF(E53="",0,E53))^ROUNDDOWN((18-1)/IF(E54="",5,E54),0)))</f>
        <v>196033.798686939</v>
      </c>
      <c r="J103" s="75" t="n">
        <f aca="false">IF(I103="","",IF((IF(E62="",IF($D$35="",0,$D$35),E62))=0,0,MAX(0,3708744.6-(IF(E63&lt;&gt;"",E63,IF($D$37&lt;&gt;"",$D$37,IF((IF(E62="",IF($D$35="",0,$D$35),E62))=0,0,E52/(IF(E62="",IF($D$35="",0,$D$35),E62)))))))*(IF(E62="",IF($D$35="",0,$D$35),E62))))</f>
        <v>25437.23</v>
      </c>
      <c r="K103" s="75" t="n">
        <f aca="false">IF(I103="","",I103+J103)</f>
        <v>221471.028686939</v>
      </c>
      <c r="L103" s="75" t="n">
        <f aca="false">IF(F52="","",IF(18&gt;IF(F55="",10,F55),"",F52*(1+IF(F53="",0,F53))^ROUNDDOWN((18-1)/IF(F54="",5,F54),0)))</f>
        <v>247927.144840763</v>
      </c>
      <c r="M103" s="75" t="n">
        <f aca="false">IF(L103="","",IF((IF(F62="",IF($D$35="",0,$D$35),F62))=0,0,MAX(0,3708744.6-(IF(F63&lt;&gt;"",F63,IF($D$37&lt;&gt;"",$D$37,IF((IF(F62="",IF($D$35="",0,$D$35),F62))=0,0,F52/(IF(F62="",IF($D$35="",0,$D$35),F62)))))))*(IF(F62="",IF($D$35="",0,$D$35),F62))))</f>
        <v>35437.23</v>
      </c>
      <c r="N103" s="75" t="n">
        <f aca="false">IF(L103="","",L103+M103)</f>
        <v>283364.374840763</v>
      </c>
      <c r="O103" s="75" t="str">
        <f aca="false">IF(G52="","",IF(18&gt;IF(G55="",10,G55),"",G52*(1+IF(G53="",0,G53))^ROUNDDOWN((18-1)/IF(G54="",5,G54),0)))</f>
        <v/>
      </c>
      <c r="P103" s="75" t="str">
        <f aca="false">IF(O103="","",IF((IF(G62="",IF($D$35="",0,$D$35),G62))=0,0,MAX(0,3708744.6-(IF(G63&lt;&gt;"",G63,IF($D$37&lt;&gt;"",$D$37,IF((IF(G62="",IF($D$35="",0,$D$35),G62))=0,0,G52/(IF(G62="",IF($D$35="",0,$D$35),G62)))))))*(IF(G62="",IF($D$35="",0,$D$35),G62))))</f>
        <v/>
      </c>
      <c r="Q103" s="75" t="str">
        <f aca="false">IF(O103="","",O103+P103)</f>
        <v/>
      </c>
      <c r="R103" s="75" t="str">
        <f aca="false">IF(H52="","",IF(18&gt;IF(H55="",10,H55),"",H52*(1+IF(H53="",0,H53))^ROUNDDOWN((18-1)/IF(H54="",5,H54),0)))</f>
        <v/>
      </c>
      <c r="S103" s="75" t="str">
        <f aca="false">IF(R103="","",IF((IF(H62="",IF($D$35="",0,$D$35),H62))=0,0,MAX(0,3708744.6-(IF(H63&lt;&gt;"",H63,IF($D$37&lt;&gt;"",$D$37,IF((IF(H62="",IF($D$35="",0,$D$35),H62))=0,0,H52/(IF(H62="",IF($D$35="",0,$D$35),H62)))))))*(IF(H62="",IF($D$35="",0,$D$35),H62))))</f>
        <v/>
      </c>
      <c r="T103" s="75" t="str">
        <f aca="false">IF(R103="","",R103+S103)</f>
        <v/>
      </c>
    </row>
    <row r="104" customFormat="false" ht="15" hidden="false" customHeight="false" outlineLevel="0" collapsed="false">
      <c r="A104" s="74" t="n">
        <v>19</v>
      </c>
      <c r="B104" s="75" t="n">
        <v>3782919</v>
      </c>
      <c r="C104" s="76" t="n">
        <v>64658</v>
      </c>
      <c r="D104" s="83" t="n">
        <v>144022</v>
      </c>
      <c r="E104" s="76" t="n">
        <v>208680</v>
      </c>
      <c r="F104" s="75" t="n">
        <f aca="false">IF(D52="","",IF(19&gt;IF(D55="",10,D55),"",D52*(1+IF(D53="",0,D53))^ROUNDDOWN((19-1)/IF(D54="",5,D54),0)))</f>
        <v>186340</v>
      </c>
      <c r="G104" s="75" t="n">
        <f aca="false">IF(F104="","",IF((IF(D62="",IF($D$35="",0,$D$35),D62))=0,0,MAX(0,3782919.5-(IF(D63&lt;&gt;"",D63,IF($D$37&lt;&gt;"",$D$37,IF((IF(D62="",IF($D$35="",0,$D$35),D62))=0,0,D52/(IF(D62="",IF($D$35="",0,$D$35),D62)))))))*(IF(D62="",IF($D$35="",0,$D$35),D62))))</f>
        <v>29145.975</v>
      </c>
      <c r="H104" s="75" t="n">
        <f aca="false">IF(F104="","",F104+G104)</f>
        <v>215485.975</v>
      </c>
      <c r="I104" s="75" t="n">
        <f aca="false">IF(E52="","",IF(19&gt;IF(E55="",10,E55),"",E52*(1+IF(E53="",0,E53))^ROUNDDOWN((19-1)/IF(E54="",5,E54),0)))</f>
        <v>199954.474660678</v>
      </c>
      <c r="J104" s="75" t="n">
        <f aca="false">IF(I104="","",IF((IF(E62="",IF($D$35="",0,$D$35),E62))=0,0,MAX(0,3782919.5-(IF(E63&lt;&gt;"",E63,IF($D$37&lt;&gt;"",$D$37,IF((IF(E62="",IF($D$35="",0,$D$35),E62))=0,0,E52/(IF(E62="",IF($D$35="",0,$D$35),E62)))))))*(IF(E62="",IF($D$35="",0,$D$35),E62))))</f>
        <v>29145.975</v>
      </c>
      <c r="K104" s="75" t="n">
        <f aca="false">IF(I104="","",I104+J104)</f>
        <v>229100.449660678</v>
      </c>
      <c r="L104" s="75" t="n">
        <f aca="false">IF(F52="","",IF(19&gt;IF(F55="",10,F55),"",F52*(1+IF(F53="",0,F53))^ROUNDDOWN((19-1)/IF(F54="",5,F54),0)))</f>
        <v>255364.959185986</v>
      </c>
      <c r="M104" s="75" t="n">
        <f aca="false">IF(L104="","",IF((IF(F62="",IF($D$35="",0,$D$35),F62))=0,0,MAX(0,3782919.5-(IF(F63&lt;&gt;"",F63,IF($D$37&lt;&gt;"",$D$37,IF((IF(F62="",IF($D$35="",0,$D$35),F62))=0,0,F52/(IF(F62="",IF($D$35="",0,$D$35),F62)))))))*(IF(F62="",IF($D$35="",0,$D$35),F62))))</f>
        <v>39145.975</v>
      </c>
      <c r="N104" s="75" t="n">
        <f aca="false">IF(L104="","",L104+M104)</f>
        <v>294510.934185986</v>
      </c>
      <c r="O104" s="75" t="str">
        <f aca="false">IF(G52="","",IF(19&gt;IF(G55="",10,G55),"",G52*(1+IF(G53="",0,G53))^ROUNDDOWN((19-1)/IF(G54="",5,G54),0)))</f>
        <v/>
      </c>
      <c r="P104" s="75" t="str">
        <f aca="false">IF(O104="","",IF((IF(G62="",IF($D$35="",0,$D$35),G62))=0,0,MAX(0,3782919.5-(IF(G63&lt;&gt;"",G63,IF($D$37&lt;&gt;"",$D$37,IF((IF(G62="",IF($D$35="",0,$D$35),G62))=0,0,G52/(IF(G62="",IF($D$35="",0,$D$35),G62)))))))*(IF(G62="",IF($D$35="",0,$D$35),G62))))</f>
        <v/>
      </c>
      <c r="Q104" s="75" t="str">
        <f aca="false">IF(O104="","",O104+P104)</f>
        <v/>
      </c>
      <c r="R104" s="75" t="str">
        <f aca="false">IF(H52="","",IF(19&gt;IF(H55="",10,H55),"",H52*(1+IF(H53="",0,H53))^ROUNDDOWN((19-1)/IF(H54="",5,H54),0)))</f>
        <v/>
      </c>
      <c r="S104" s="75" t="str">
        <f aca="false">IF(R104="","",IF((IF(H62="",IF($D$35="",0,$D$35),H62))=0,0,MAX(0,3782919.5-(IF(H63&lt;&gt;"",H63,IF($D$37&lt;&gt;"",$D$37,IF((IF(H62="",IF($D$35="",0,$D$35),H62))=0,0,H52/(IF(H62="",IF($D$35="",0,$D$35),H62)))))))*(IF(H62="",IF($D$35="",0,$D$35),H62))))</f>
        <v/>
      </c>
      <c r="T104" s="75" t="str">
        <f aca="false">IF(R104="","",R104+S104)</f>
        <v/>
      </c>
    </row>
    <row r="105" customFormat="false" ht="15" hidden="false" customHeight="false" outlineLevel="0" collapsed="false">
      <c r="A105" s="74" t="n">
        <v>20</v>
      </c>
      <c r="B105" s="75" t="n">
        <v>3858578</v>
      </c>
      <c r="C105" s="76" t="n">
        <v>64658</v>
      </c>
      <c r="D105" s="83" t="n">
        <v>147805</v>
      </c>
      <c r="E105" s="76" t="n">
        <v>212462</v>
      </c>
      <c r="F105" s="75" t="n">
        <f aca="false">IF(D52="","",IF(20&gt;IF(D55="",10,D55),"",D52*(1+IF(D53="",0,D53))^ROUNDDOWN((20-1)/IF(D54="",5,D54),0)))</f>
        <v>186340</v>
      </c>
      <c r="G105" s="75" t="n">
        <f aca="false">IF(F105="","",IF((IF(D62="",IF($D$35="",0,$D$35),D62))=0,0,MAX(0,3858577.89-(IF(D63&lt;&gt;"",D63,IF($D$37&lt;&gt;"",$D$37,IF((IF(D62="",IF($D$35="",0,$D$35),D62))=0,0,D52/(IF(D62="",IF($D$35="",0,$D$35),D62)))))))*(IF(D62="",IF($D$35="",0,$D$35),D62))))</f>
        <v>32928.8945</v>
      </c>
      <c r="H105" s="75" t="n">
        <f aca="false">IF(F105="","",F105+G105)</f>
        <v>219268.8945</v>
      </c>
      <c r="I105" s="75" t="n">
        <f aca="false">IF(E52="","",IF(20&gt;IF(E55="",10,E55),"",E52*(1+IF(E53="",0,E53))^ROUNDDOWN((20-1)/IF(E54="",5,E54),0)))</f>
        <v>203953.564153892</v>
      </c>
      <c r="J105" s="75" t="n">
        <f aca="false">IF(I105="","",IF((IF(E62="",IF($D$35="",0,$D$35),E62))=0,0,MAX(0,3858577.89-(IF(E63&lt;&gt;"",E63,IF($D$37&lt;&gt;"",$D$37,IF((IF(E62="",IF($D$35="",0,$D$35),E62))=0,0,E52/(IF(E62="",IF($D$35="",0,$D$35),E62)))))))*(IF(E62="",IF($D$35="",0,$D$35),E62))))</f>
        <v>32928.8945</v>
      </c>
      <c r="K105" s="75" t="n">
        <f aca="false">IF(I105="","",I105+J105)</f>
        <v>236882.458653892</v>
      </c>
      <c r="L105" s="75" t="n">
        <f aca="false">IF(F52="","",IF(20&gt;IF(F55="",10,F55),"",F52*(1+IF(F53="",0,F53))^ROUNDDOWN((20-1)/IF(F54="",5,F54),0)))</f>
        <v>263025.907961565</v>
      </c>
      <c r="M105" s="75" t="n">
        <f aca="false">IF(L105="","",IF((IF(F62="",IF($D$35="",0,$D$35),F62))=0,0,MAX(0,3858577.89-(IF(F63&lt;&gt;"",F63,IF($D$37&lt;&gt;"",$D$37,IF((IF(F62="",IF($D$35="",0,$D$35),F62))=0,0,F52/(IF(F62="",IF($D$35="",0,$D$35),F62)))))))*(IF(F62="",IF($D$35="",0,$D$35),F62))))</f>
        <v>42928.8945</v>
      </c>
      <c r="N105" s="75" t="n">
        <f aca="false">IF(L105="","",L105+M105)</f>
        <v>305954.802461565</v>
      </c>
      <c r="O105" s="75" t="str">
        <f aca="false">IF(G52="","",IF(20&gt;IF(G55="",10,G55),"",G52*(1+IF(G53="",0,G53))^ROUNDDOWN((20-1)/IF(G54="",5,G54),0)))</f>
        <v/>
      </c>
      <c r="P105" s="75" t="str">
        <f aca="false">IF(O105="","",IF((IF(G62="",IF($D$35="",0,$D$35),G62))=0,0,MAX(0,3858577.89-(IF(G63&lt;&gt;"",G63,IF($D$37&lt;&gt;"",$D$37,IF((IF(G62="",IF($D$35="",0,$D$35),G62))=0,0,G52/(IF(G62="",IF($D$35="",0,$D$35),G62)))))))*(IF(G62="",IF($D$35="",0,$D$35),G62))))</f>
        <v/>
      </c>
      <c r="Q105" s="75" t="str">
        <f aca="false">IF(O105="","",O105+P105)</f>
        <v/>
      </c>
      <c r="R105" s="75" t="str">
        <f aca="false">IF(H52="","",IF(20&gt;IF(H55="",10,H55),"",H52*(1+IF(H53="",0,H53))^ROUNDDOWN((20-1)/IF(H54="",5,H54),0)))</f>
        <v/>
      </c>
      <c r="S105" s="75" t="str">
        <f aca="false">IF(R105="","",IF((IF(H62="",IF($D$35="",0,$D$35),H62))=0,0,MAX(0,3858577.89-(IF(H63&lt;&gt;"",H63,IF($D$37&lt;&gt;"",$D$37,IF((IF(H62="",IF($D$35="",0,$D$35),H62))=0,0,H52/(IF(H62="",IF($D$35="",0,$D$35),H62)))))))*(IF(H62="",IF($D$35="",0,$D$35),H62))))</f>
        <v/>
      </c>
      <c r="T105" s="75" t="str">
        <f aca="false">IF(R105="","",R105+S105)</f>
        <v/>
      </c>
    </row>
    <row r="106" customFormat="false" ht="15" hidden="false" customHeight="false" outlineLevel="0" collapsed="false">
      <c r="A106" s="77" t="s">
        <v>394</v>
      </c>
      <c r="C106" s="78" t="n">
        <f aca="false">IF(COUNT(C86:C105)=0,"",SUM(C86:C105))</f>
        <v>1121580</v>
      </c>
      <c r="D106" s="78" t="n">
        <f aca="false">IF(COUNT(D86:D105)=0,"",SUM(D86:D105))</f>
        <v>2315274</v>
      </c>
      <c r="E106" s="78" t="n">
        <f aca="false">IF(COUNT(E86:E105)=0,"",SUM(E86:E105))</f>
        <v>3436853</v>
      </c>
      <c r="F106" s="78" t="n">
        <f aca="false">IF(COUNT(F86:F105)=0,"",SUM(F86:F105))</f>
        <v>3248700</v>
      </c>
      <c r="G106" s="78" t="n">
        <f aca="false">IF(COUNT(G86:G105)=0,"",SUM(G86:G105))</f>
        <v>167660.1965</v>
      </c>
      <c r="H106" s="78" t="n">
        <f aca="false">IF(COUNT(H86:H105)=0,"",SUM(H86:H105))</f>
        <v>3416360.1965</v>
      </c>
      <c r="I106" s="78" t="n">
        <f aca="false">IF(COUNT(I86:I105)=0,"",SUM(I86:I105))</f>
        <v>3401631.77184848</v>
      </c>
      <c r="J106" s="78" t="n">
        <f aca="false">IF(COUNT(J86:J105)=0,"",SUM(J86:J105))</f>
        <v>167660.1965</v>
      </c>
      <c r="K106" s="78" t="n">
        <f aca="false">IF(COUNT(K86:K105)=0,"",SUM(K86:K105))</f>
        <v>3569291.96834848</v>
      </c>
      <c r="L106" s="78" t="n">
        <f aca="false">IF(COUNT(L86:L105)=0,"",SUM(L86:L105))</f>
        <v>4030556.17334707</v>
      </c>
      <c r="M106" s="78" t="n">
        <f aca="false">IF(COUNT(M86:M105)=0,"",SUM(M86:M105))</f>
        <v>283217.7825</v>
      </c>
      <c r="N106" s="78" t="n">
        <f aca="false">IF(COUNT(N86:N105)=0,"",SUM(N86:N105))</f>
        <v>4313773.95584707</v>
      </c>
      <c r="O106" s="78" t="n">
        <f aca="false">IF(COUNT(O86:O105)=0,"",SUM(O86:O105))</f>
        <v>2234250</v>
      </c>
      <c r="P106" s="78" t="n">
        <f aca="false">IF(COUNT(P86:P105)=0,"",SUM(P86:P105))</f>
        <v>0</v>
      </c>
      <c r="Q106" s="78" t="n">
        <f aca="false">IF(COUNT(Q86:Q105)=0,"",SUM(Q86:Q105))</f>
        <v>2234250</v>
      </c>
      <c r="R106" s="78" t="str">
        <f aca="false">IF(COUNT(R86:R105)=0,"",SUM(R86:R105))</f>
        <v/>
      </c>
      <c r="S106" s="78" t="str">
        <f aca="false">IF(COUNT(S86:S105)=0,"",SUM(S86:S105))</f>
        <v/>
      </c>
      <c r="T106" s="78" t="str">
        <f aca="false">IF(COUNT(T86:T105)=0,"",SUM(T86:T105))</f>
        <v/>
      </c>
    </row>
    <row r="107" customFormat="false" ht="15" hidden="false" customHeight="false" outlineLevel="0" collapsed="false">
      <c r="A107" s="69" t="s">
        <v>395</v>
      </c>
      <c r="B107" s="69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</row>
  </sheetData>
  <mergeCells count="84">
    <mergeCell ref="A2:J2"/>
    <mergeCell ref="A3:J3"/>
    <mergeCell ref="A4:J4"/>
    <mergeCell ref="A5:J5"/>
    <mergeCell ref="A6:J6"/>
    <mergeCell ref="A7:J7"/>
    <mergeCell ref="A8:J8"/>
    <mergeCell ref="A10:C10"/>
    <mergeCell ref="D10:J10"/>
    <mergeCell ref="A11:C11"/>
    <mergeCell ref="D11:J11"/>
    <mergeCell ref="A12:C12"/>
    <mergeCell ref="D12:J12"/>
    <mergeCell ref="A13:C13"/>
    <mergeCell ref="D13:J13"/>
    <mergeCell ref="A14:C14"/>
    <mergeCell ref="D14:J14"/>
    <mergeCell ref="G17:J17"/>
    <mergeCell ref="G18:J18"/>
    <mergeCell ref="G19:J19"/>
    <mergeCell ref="G20:J20"/>
    <mergeCell ref="A21:D21"/>
    <mergeCell ref="A22:J22"/>
    <mergeCell ref="A25:C25"/>
    <mergeCell ref="A26:C26"/>
    <mergeCell ref="E26:J26"/>
    <mergeCell ref="A27:C27"/>
    <mergeCell ref="E27:J27"/>
    <mergeCell ref="A28:C28"/>
    <mergeCell ref="A29:C29"/>
    <mergeCell ref="A30:C30"/>
    <mergeCell ref="E30:J30"/>
    <mergeCell ref="A31:J31"/>
    <mergeCell ref="A32:J32"/>
    <mergeCell ref="A35:C35"/>
    <mergeCell ref="E35:J35"/>
    <mergeCell ref="A36:C36"/>
    <mergeCell ref="E36:J36"/>
    <mergeCell ref="A37:C37"/>
    <mergeCell ref="E37:J37"/>
    <mergeCell ref="A38:C38"/>
    <mergeCell ref="E38:J38"/>
    <mergeCell ref="A39:C39"/>
    <mergeCell ref="A40:C40"/>
    <mergeCell ref="A41:C41"/>
    <mergeCell ref="A42:C42"/>
    <mergeCell ref="E42:J42"/>
    <mergeCell ref="A47:G47"/>
    <mergeCell ref="A50:C50"/>
    <mergeCell ref="A51:C51"/>
    <mergeCell ref="A52:C52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2:C62"/>
    <mergeCell ref="A63:C63"/>
    <mergeCell ref="A64:C64"/>
    <mergeCell ref="A65:C65"/>
    <mergeCell ref="A66:C66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7:J77"/>
    <mergeCell ref="A79:J79"/>
    <mergeCell ref="A83:T83"/>
    <mergeCell ref="C84:E84"/>
    <mergeCell ref="F84:H84"/>
    <mergeCell ref="I84:K84"/>
    <mergeCell ref="L84:N84"/>
    <mergeCell ref="O84:Q84"/>
    <mergeCell ref="R84:T84"/>
    <mergeCell ref="A107:T107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T11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6"/>
    <col collapsed="false" customWidth="true" hidden="false" outlineLevel="0" max="2" min="2" style="0" width="22"/>
    <col collapsed="false" customWidth="true" hidden="false" outlineLevel="0" max="3" min="3" style="0" width="11"/>
    <col collapsed="false" customWidth="true" hidden="false" outlineLevel="0" max="4" min="4" style="0" width="14"/>
    <col collapsed="false" customWidth="true" hidden="false" outlineLevel="0" max="6" min="5" style="0" width="12"/>
    <col collapsed="false" customWidth="true" hidden="false" outlineLevel="0" max="7" min="7" style="0" width="14"/>
    <col collapsed="false" customWidth="true" hidden="false" outlineLevel="0" max="9" min="8" style="0" width="13"/>
    <col collapsed="false" customWidth="true" hidden="false" outlineLevel="0" max="10" min="10" style="0" width="26"/>
  </cols>
  <sheetData>
    <row r="1" customFormat="false" ht="16.15" hidden="false" customHeight="false" outlineLevel="0" collapsed="false">
      <c r="A1" s="3" t="s">
        <v>428</v>
      </c>
    </row>
    <row r="2" customFormat="false" ht="25.5" hidden="false" customHeight="true" outlineLevel="0" collapsed="false">
      <c r="A2" s="12" t="s">
        <v>251</v>
      </c>
      <c r="B2" s="12"/>
      <c r="C2" s="12"/>
      <c r="D2" s="12"/>
      <c r="E2" s="12"/>
      <c r="F2" s="12"/>
      <c r="G2" s="12"/>
      <c r="H2" s="12"/>
      <c r="I2" s="12"/>
      <c r="J2" s="12"/>
    </row>
    <row r="3" customFormat="false" ht="15" hidden="false" customHeight="true" outlineLevel="0" collapsed="false">
      <c r="A3" s="16" t="s">
        <v>429</v>
      </c>
      <c r="B3" s="16"/>
      <c r="C3" s="16"/>
      <c r="D3" s="16"/>
      <c r="E3" s="16"/>
      <c r="F3" s="16"/>
      <c r="G3" s="16"/>
      <c r="H3" s="16"/>
      <c r="I3" s="16"/>
      <c r="J3" s="16"/>
    </row>
    <row r="4" customFormat="false" ht="30" hidden="false" customHeight="true" outlineLevel="0" collapsed="false">
      <c r="A4" s="17" t="s">
        <v>26</v>
      </c>
      <c r="B4" s="17"/>
      <c r="C4" s="17"/>
      <c r="D4" s="17"/>
      <c r="E4" s="17"/>
      <c r="F4" s="17"/>
      <c r="G4" s="17"/>
      <c r="H4" s="17"/>
      <c r="I4" s="17"/>
      <c r="J4" s="17"/>
    </row>
    <row r="5" customFormat="false" ht="15" hidden="false" customHeight="true" outlineLevel="0" collapsed="false">
      <c r="A5" s="79" t="s">
        <v>27</v>
      </c>
      <c r="B5" s="79"/>
      <c r="C5" s="79"/>
      <c r="D5" s="79"/>
      <c r="E5" s="79"/>
      <c r="F5" s="79"/>
      <c r="G5" s="79"/>
      <c r="H5" s="79"/>
      <c r="I5" s="79"/>
      <c r="J5" s="79"/>
    </row>
    <row r="6" customFormat="false" ht="15" hidden="false" customHeight="true" outlineLevel="0" collapsed="false">
      <c r="A6" s="19" t="s">
        <v>28</v>
      </c>
      <c r="B6" s="19"/>
      <c r="C6" s="19"/>
      <c r="D6" s="19"/>
      <c r="E6" s="19"/>
      <c r="F6" s="19"/>
      <c r="G6" s="19"/>
      <c r="H6" s="19"/>
      <c r="I6" s="19"/>
      <c r="J6" s="19"/>
    </row>
    <row r="7" customFormat="false" ht="23.85" hidden="false" customHeight="true" outlineLevel="0" collapsed="false">
      <c r="A7" s="20" t="s">
        <v>430</v>
      </c>
      <c r="B7" s="20"/>
      <c r="C7" s="20"/>
      <c r="D7" s="20"/>
      <c r="E7" s="20"/>
      <c r="F7" s="20"/>
      <c r="G7" s="20"/>
      <c r="H7" s="20"/>
      <c r="I7" s="20"/>
      <c r="J7" s="20"/>
    </row>
    <row r="8" customFormat="false" ht="15" hidden="false" customHeight="true" outlineLevel="0" collapsed="false">
      <c r="A8" s="21" t="s">
        <v>254</v>
      </c>
      <c r="B8" s="21"/>
      <c r="C8" s="21"/>
      <c r="D8" s="21"/>
      <c r="E8" s="21"/>
      <c r="F8" s="21"/>
      <c r="G8" s="21"/>
      <c r="H8" s="21"/>
      <c r="I8" s="21"/>
      <c r="J8" s="21"/>
    </row>
    <row r="10" customFormat="false" ht="15" hidden="false" customHeight="true" outlineLevel="0" collapsed="false">
      <c r="A10" s="22" t="s">
        <v>255</v>
      </c>
      <c r="B10" s="22"/>
      <c r="C10" s="22"/>
      <c r="D10" s="23" t="s">
        <v>431</v>
      </c>
      <c r="E10" s="23"/>
      <c r="F10" s="23"/>
      <c r="G10" s="23"/>
      <c r="H10" s="23"/>
      <c r="I10" s="23"/>
      <c r="J10" s="23"/>
    </row>
    <row r="11" customFormat="false" ht="15" hidden="false" customHeight="true" outlineLevel="0" collapsed="false">
      <c r="A11" s="22" t="s">
        <v>257</v>
      </c>
      <c r="B11" s="22"/>
      <c r="C11" s="22"/>
      <c r="D11" s="23" t="s">
        <v>432</v>
      </c>
      <c r="E11" s="23"/>
      <c r="F11" s="23"/>
      <c r="G11" s="23"/>
      <c r="H11" s="23"/>
      <c r="I11" s="23"/>
      <c r="J11" s="23"/>
    </row>
    <row r="12" customFormat="false" ht="15" hidden="false" customHeight="true" outlineLevel="0" collapsed="false">
      <c r="A12" s="22" t="s">
        <v>259</v>
      </c>
      <c r="B12" s="22"/>
      <c r="C12" s="22"/>
      <c r="D12" s="23" t="s">
        <v>433</v>
      </c>
      <c r="E12" s="23"/>
      <c r="F12" s="23"/>
      <c r="G12" s="23"/>
      <c r="H12" s="23"/>
      <c r="I12" s="23"/>
      <c r="J12" s="23"/>
    </row>
    <row r="13" customFormat="false" ht="15" hidden="false" customHeight="true" outlineLevel="0" collapsed="false">
      <c r="A13" s="22" t="s">
        <v>261</v>
      </c>
      <c r="B13" s="22"/>
      <c r="C13" s="22"/>
      <c r="D13" s="24" t="n">
        <v>1319786.19</v>
      </c>
      <c r="E13" s="24"/>
      <c r="F13" s="24"/>
      <c r="G13" s="24"/>
      <c r="H13" s="24"/>
      <c r="I13" s="24"/>
      <c r="J13" s="24"/>
    </row>
    <row r="14" customFormat="false" ht="35.05" hidden="false" customHeight="true" outlineLevel="0" collapsed="false">
      <c r="A14" s="22" t="s">
        <v>262</v>
      </c>
      <c r="B14" s="22"/>
      <c r="C14" s="22"/>
      <c r="D14" s="22" t="s">
        <v>434</v>
      </c>
      <c r="E14" s="22"/>
      <c r="F14" s="22"/>
      <c r="G14" s="22"/>
      <c r="H14" s="22"/>
      <c r="I14" s="22"/>
      <c r="J14" s="22"/>
    </row>
    <row r="16" customFormat="false" ht="15" hidden="false" customHeight="false" outlineLevel="0" collapsed="false">
      <c r="A16" s="25" t="s">
        <v>264</v>
      </c>
    </row>
    <row r="17" customFormat="false" ht="22.35" hidden="false" customHeight="true" outlineLevel="0" collapsed="false">
      <c r="A17" s="26" t="s">
        <v>265</v>
      </c>
      <c r="B17" s="26" t="s">
        <v>266</v>
      </c>
      <c r="C17" s="26" t="s">
        <v>267</v>
      </c>
      <c r="D17" s="26" t="s">
        <v>268</v>
      </c>
      <c r="E17" s="26" t="s">
        <v>269</v>
      </c>
      <c r="F17" s="26" t="s">
        <v>270</v>
      </c>
      <c r="G17" s="26" t="s">
        <v>271</v>
      </c>
      <c r="H17" s="26"/>
      <c r="I17" s="26"/>
      <c r="J17" s="26"/>
    </row>
    <row r="18" customFormat="false" ht="19.4" hidden="false" customHeight="true" outlineLevel="0" collapsed="false">
      <c r="A18" s="27" t="s">
        <v>435</v>
      </c>
      <c r="B18" s="28" t="s">
        <v>404</v>
      </c>
      <c r="C18" s="28" t="s">
        <v>436</v>
      </c>
      <c r="D18" s="29" t="n">
        <v>10101.39</v>
      </c>
      <c r="E18" s="30" t="n">
        <f aca="false">IF(D18="","",D18*12)</f>
        <v>121216.68</v>
      </c>
      <c r="F18" s="31" t="n">
        <v>2.4</v>
      </c>
      <c r="G18" s="32" t="s">
        <v>437</v>
      </c>
      <c r="H18" s="32"/>
      <c r="I18" s="32"/>
      <c r="J18" s="32"/>
    </row>
    <row r="19" customFormat="false" ht="23.85" hidden="false" customHeight="true" outlineLevel="0" collapsed="false">
      <c r="A19" s="27" t="s">
        <v>438</v>
      </c>
      <c r="B19" s="28" t="s">
        <v>439</v>
      </c>
      <c r="C19" s="28" t="s">
        <v>440</v>
      </c>
      <c r="D19" s="33"/>
      <c r="E19" s="30" t="str">
        <f aca="false">IF(D19="","",D19*12)</f>
        <v/>
      </c>
      <c r="F19" s="31" t="n">
        <v>5</v>
      </c>
      <c r="G19" s="32" t="s">
        <v>441</v>
      </c>
      <c r="H19" s="32"/>
      <c r="I19" s="32"/>
      <c r="J19" s="32"/>
    </row>
    <row r="20" customFormat="false" ht="35.05" hidden="false" customHeight="true" outlineLevel="0" collapsed="false">
      <c r="A20" s="27" t="s">
        <v>442</v>
      </c>
      <c r="B20" s="28" t="s">
        <v>443</v>
      </c>
      <c r="C20" s="28" t="s">
        <v>444</v>
      </c>
      <c r="D20" s="33"/>
      <c r="E20" s="30" t="str">
        <f aca="false">IF(D20="","",D20*12)</f>
        <v/>
      </c>
      <c r="F20" s="31" t="n">
        <v>2.6</v>
      </c>
      <c r="G20" s="32" t="s">
        <v>445</v>
      </c>
      <c r="H20" s="32"/>
      <c r="I20" s="32"/>
      <c r="J20" s="32"/>
    </row>
    <row r="21" customFormat="false" ht="15" hidden="false" customHeight="false" outlineLevel="0" collapsed="false">
      <c r="A21" s="34" t="s">
        <v>284</v>
      </c>
      <c r="B21" s="34"/>
      <c r="C21" s="34"/>
      <c r="D21" s="34"/>
      <c r="E21" s="35" t="n">
        <f aca="false">IF(SUMPRODUCT(E18:E20,F18:F20)=0,"",SUMPRODUCT(E18:E20,F18:F20))</f>
        <v>290920.032</v>
      </c>
      <c r="F21" s="36"/>
      <c r="G21" s="36"/>
      <c r="H21" s="36"/>
      <c r="I21" s="36"/>
      <c r="J21" s="36"/>
    </row>
    <row r="22" customFormat="false" ht="15" hidden="false" customHeight="false" outlineLevel="0" collapsed="false">
      <c r="A22" s="37" t="s">
        <v>285</v>
      </c>
      <c r="B22" s="37"/>
      <c r="C22" s="37"/>
      <c r="D22" s="37"/>
      <c r="E22" s="37"/>
      <c r="F22" s="37"/>
      <c r="G22" s="37"/>
      <c r="H22" s="37"/>
      <c r="I22" s="37"/>
      <c r="J22" s="37"/>
    </row>
    <row r="24" customFormat="false" ht="15" hidden="false" customHeight="false" outlineLevel="0" collapsed="false">
      <c r="A24" s="25" t="s">
        <v>286</v>
      </c>
    </row>
    <row r="25" customFormat="false" ht="15" hidden="false" customHeight="true" outlineLevel="0" collapsed="false">
      <c r="A25" s="22" t="s">
        <v>287</v>
      </c>
      <c r="B25" s="22"/>
      <c r="C25" s="22"/>
      <c r="D25" s="35" t="n">
        <v>121216.68</v>
      </c>
      <c r="E25" s="36"/>
      <c r="F25" s="36"/>
      <c r="G25" s="36"/>
      <c r="H25" s="36"/>
      <c r="I25" s="36"/>
      <c r="J25" s="36"/>
    </row>
    <row r="26" customFormat="false" ht="15" hidden="false" customHeight="true" outlineLevel="0" collapsed="false">
      <c r="A26" s="22" t="s">
        <v>288</v>
      </c>
      <c r="B26" s="22"/>
      <c r="C26" s="22"/>
      <c r="D26" s="84" t="n">
        <v>0.0918456950970217</v>
      </c>
      <c r="E26" s="39" t="s">
        <v>289</v>
      </c>
      <c r="F26" s="39"/>
      <c r="G26" s="39"/>
      <c r="H26" s="39"/>
      <c r="I26" s="39"/>
      <c r="J26" s="39"/>
    </row>
    <row r="27" customFormat="false" ht="15" hidden="false" customHeight="true" outlineLevel="0" collapsed="false">
      <c r="A27" s="22" t="s">
        <v>446</v>
      </c>
      <c r="B27" s="22"/>
      <c r="C27" s="22"/>
      <c r="D27" s="35" t="n">
        <v>48462.93</v>
      </c>
      <c r="E27" s="39" t="s">
        <v>291</v>
      </c>
      <c r="F27" s="39"/>
      <c r="G27" s="39"/>
      <c r="H27" s="39"/>
      <c r="I27" s="39"/>
      <c r="J27" s="39"/>
    </row>
    <row r="28" customFormat="false" ht="15" hidden="false" customHeight="true" outlineLevel="0" collapsed="false">
      <c r="A28" s="22" t="s">
        <v>292</v>
      </c>
      <c r="B28" s="22"/>
      <c r="C28" s="22"/>
      <c r="D28" s="35" t="n">
        <v>0</v>
      </c>
      <c r="E28" s="36"/>
      <c r="F28" s="36"/>
      <c r="G28" s="36"/>
      <c r="H28" s="36"/>
      <c r="I28" s="36"/>
      <c r="J28" s="36"/>
    </row>
    <row r="29" customFormat="false" ht="15" hidden="false" customHeight="true" outlineLevel="0" collapsed="false">
      <c r="A29" s="22" t="s">
        <v>293</v>
      </c>
      <c r="B29" s="22"/>
      <c r="C29" s="22"/>
      <c r="D29" s="35" t="n">
        <v>169679.61</v>
      </c>
      <c r="E29" s="36"/>
      <c r="F29" s="36"/>
      <c r="G29" s="36"/>
      <c r="H29" s="36"/>
      <c r="I29" s="36"/>
      <c r="J29" s="36"/>
    </row>
    <row r="30" customFormat="false" ht="15" hidden="false" customHeight="true" outlineLevel="0" collapsed="false">
      <c r="A30" s="22" t="s">
        <v>294</v>
      </c>
      <c r="B30" s="22"/>
      <c r="C30" s="22"/>
      <c r="D30" s="84" t="n">
        <v>0.12856598385834</v>
      </c>
      <c r="E30" s="39" t="s">
        <v>295</v>
      </c>
      <c r="F30" s="39"/>
      <c r="G30" s="39"/>
      <c r="H30" s="39"/>
      <c r="I30" s="39"/>
      <c r="J30" s="39"/>
    </row>
    <row r="31" customFormat="false" ht="27.75" hidden="false" customHeight="true" outlineLevel="0" collapsed="false">
      <c r="A31" s="40" t="s">
        <v>447</v>
      </c>
      <c r="B31" s="40"/>
      <c r="C31" s="40"/>
      <c r="D31" s="40"/>
      <c r="E31" s="40"/>
      <c r="F31" s="40"/>
      <c r="G31" s="40"/>
      <c r="H31" s="40"/>
      <c r="I31" s="40"/>
      <c r="J31" s="40"/>
    </row>
    <row r="32" customFormat="false" ht="15" hidden="false" customHeight="false" outlineLevel="0" collapsed="false">
      <c r="A32" s="85" t="s">
        <v>448</v>
      </c>
      <c r="B32" s="85"/>
      <c r="C32" s="85"/>
      <c r="D32" s="85"/>
      <c r="E32" s="85"/>
      <c r="F32" s="85"/>
      <c r="G32" s="85"/>
      <c r="H32" s="85"/>
      <c r="I32" s="85"/>
      <c r="J32" s="85"/>
    </row>
    <row r="34" customFormat="false" ht="15" hidden="false" customHeight="false" outlineLevel="0" collapsed="false">
      <c r="A34" s="25" t="s">
        <v>298</v>
      </c>
    </row>
    <row r="35" customFormat="false" ht="15" hidden="false" customHeight="true" outlineLevel="0" collapsed="false">
      <c r="A35" s="22" t="s">
        <v>299</v>
      </c>
      <c r="B35" s="22"/>
      <c r="C35" s="22"/>
      <c r="D35" s="42" t="n">
        <v>0</v>
      </c>
      <c r="E35" s="43" t="s">
        <v>300</v>
      </c>
      <c r="F35" s="43"/>
      <c r="G35" s="43"/>
      <c r="H35" s="43"/>
      <c r="I35" s="43"/>
      <c r="J35" s="43"/>
    </row>
    <row r="36" customFormat="false" ht="15" hidden="false" customHeight="true" outlineLevel="0" collapsed="false">
      <c r="A36" s="22" t="s">
        <v>301</v>
      </c>
      <c r="B36" s="22"/>
      <c r="C36" s="22"/>
      <c r="D36" s="34" t="s">
        <v>302</v>
      </c>
      <c r="E36" s="43" t="s">
        <v>303</v>
      </c>
      <c r="F36" s="43"/>
      <c r="G36" s="43"/>
      <c r="H36" s="43"/>
      <c r="I36" s="43"/>
      <c r="J36" s="43"/>
    </row>
    <row r="37" customFormat="false" ht="15" hidden="false" customHeight="true" outlineLevel="0" collapsed="false">
      <c r="A37" s="22" t="s">
        <v>304</v>
      </c>
      <c r="B37" s="22"/>
      <c r="C37" s="22"/>
      <c r="D37" s="44"/>
      <c r="E37" s="43" t="s">
        <v>305</v>
      </c>
      <c r="F37" s="43"/>
      <c r="G37" s="43"/>
      <c r="H37" s="43"/>
      <c r="I37" s="43"/>
      <c r="J37" s="43"/>
    </row>
    <row r="38" customFormat="false" ht="23.85" hidden="false" customHeight="true" outlineLevel="0" collapsed="false">
      <c r="A38" s="22" t="s">
        <v>306</v>
      </c>
      <c r="B38" s="22"/>
      <c r="C38" s="22"/>
      <c r="D38" s="45" t="str">
        <f aca="false">IF(OR($D$35="",E18=""),"",IF($D$35=0,"— (no % rent)",E18/$D$35))</f>
        <v>— (no % rent)</v>
      </c>
      <c r="E38" s="43" t="s">
        <v>307</v>
      </c>
      <c r="F38" s="43"/>
      <c r="G38" s="43"/>
      <c r="H38" s="43"/>
      <c r="I38" s="43"/>
      <c r="J38" s="43"/>
    </row>
    <row r="39" customFormat="false" ht="23.85" hidden="false" customHeight="true" outlineLevel="0" collapsed="false">
      <c r="A39" s="22" t="s">
        <v>308</v>
      </c>
      <c r="B39" s="22"/>
      <c r="C39" s="22"/>
      <c r="D39" s="45" t="str">
        <f aca="false">IF($D$35="","",IF($D$35=0,"— (no % rent)",IF($D$37&lt;&gt;"",$D$37,IF(E18="","",E18/$D$35))))</f>
        <v>— (no % rent)</v>
      </c>
      <c r="E39" s="36"/>
      <c r="F39" s="36"/>
      <c r="G39" s="36"/>
      <c r="H39" s="36"/>
      <c r="I39" s="36"/>
      <c r="J39" s="36"/>
    </row>
    <row r="40" customFormat="false" ht="15" hidden="false" customHeight="true" outlineLevel="0" collapsed="false">
      <c r="A40" s="22" t="s">
        <v>309</v>
      </c>
      <c r="B40" s="22"/>
      <c r="C40" s="22"/>
      <c r="D40" s="45" t="n">
        <f aca="false">IF(OR($D$35="",D13=""),"",IF($D$35=0,0,IF($D$39="","",MAX(0,D13-$D$39)*$D$35)))</f>
        <v>0</v>
      </c>
      <c r="E40" s="36"/>
      <c r="F40" s="36"/>
      <c r="G40" s="36"/>
      <c r="H40" s="36"/>
      <c r="I40" s="36"/>
      <c r="J40" s="36"/>
    </row>
    <row r="41" customFormat="false" ht="15" hidden="false" customHeight="true" outlineLevel="0" collapsed="false">
      <c r="A41" s="22" t="s">
        <v>310</v>
      </c>
      <c r="B41" s="22"/>
      <c r="C41" s="22"/>
      <c r="D41" s="45" t="n">
        <f aca="false">IF(OR(D40="",E18=""),"",E18+D40)</f>
        <v>121216.68</v>
      </c>
      <c r="E41" s="36"/>
      <c r="F41" s="36"/>
      <c r="G41" s="36"/>
      <c r="H41" s="36"/>
      <c r="I41" s="36"/>
      <c r="J41" s="36"/>
    </row>
    <row r="42" customFormat="false" ht="15" hidden="false" customHeight="true" outlineLevel="0" collapsed="false">
      <c r="A42" s="22" t="s">
        <v>311</v>
      </c>
      <c r="B42" s="22"/>
      <c r="C42" s="22"/>
      <c r="D42" s="46" t="n">
        <f aca="false">IF(OR(D41="",D13=""),"",D41/D13)</f>
        <v>0.0918456950970217</v>
      </c>
      <c r="E42" s="36"/>
      <c r="F42" s="36"/>
      <c r="G42" s="36"/>
      <c r="H42" s="36"/>
      <c r="I42" s="36"/>
      <c r="J42" s="36"/>
    </row>
    <row r="44" customFormat="false" ht="15" hidden="false" customHeight="false" outlineLevel="0" collapsed="false">
      <c r="A44" s="25" t="s">
        <v>312</v>
      </c>
    </row>
    <row r="45" customFormat="false" ht="22.35" hidden="false" customHeight="false" outlineLevel="0" collapsed="false">
      <c r="A45" s="26" t="s">
        <v>313</v>
      </c>
      <c r="B45" s="26" t="s">
        <v>314</v>
      </c>
      <c r="C45" s="26" t="s">
        <v>315</v>
      </c>
      <c r="D45" s="26" t="s">
        <v>316</v>
      </c>
      <c r="E45" s="26" t="s">
        <v>317</v>
      </c>
      <c r="F45" s="26" t="s">
        <v>318</v>
      </c>
      <c r="G45" s="26" t="s">
        <v>319</v>
      </c>
      <c r="H45" s="26" t="s">
        <v>269</v>
      </c>
      <c r="I45" s="26" t="s">
        <v>320</v>
      </c>
      <c r="J45" s="26" t="s">
        <v>321</v>
      </c>
    </row>
    <row r="46" customFormat="false" ht="32.8" hidden="false" customHeight="false" outlineLevel="0" collapsed="false">
      <c r="A46" s="47" t="s">
        <v>449</v>
      </c>
      <c r="B46" s="47" t="s">
        <v>450</v>
      </c>
      <c r="C46" s="47" t="s">
        <v>451</v>
      </c>
      <c r="D46" s="47" t="s">
        <v>452</v>
      </c>
      <c r="E46" s="48"/>
      <c r="F46" s="47" t="s">
        <v>453</v>
      </c>
      <c r="G46" s="47" t="s">
        <v>327</v>
      </c>
      <c r="H46" s="49" t="n">
        <v>200000</v>
      </c>
      <c r="I46" s="50" t="s">
        <v>328</v>
      </c>
      <c r="J46" s="47" t="s">
        <v>454</v>
      </c>
    </row>
    <row r="47" customFormat="false" ht="22.35" hidden="false" customHeight="false" outlineLevel="0" collapsed="false">
      <c r="A47" s="47" t="s">
        <v>455</v>
      </c>
      <c r="B47" s="47" t="s">
        <v>456</v>
      </c>
      <c r="C47" s="47" t="s">
        <v>457</v>
      </c>
      <c r="D47" s="47" t="s">
        <v>458</v>
      </c>
      <c r="E47" s="48"/>
      <c r="F47" s="47" t="s">
        <v>459</v>
      </c>
      <c r="G47" s="47" t="s">
        <v>327</v>
      </c>
      <c r="H47" s="49" t="n">
        <v>192000</v>
      </c>
      <c r="I47" s="50" t="s">
        <v>328</v>
      </c>
      <c r="J47" s="47" t="s">
        <v>460</v>
      </c>
    </row>
    <row r="48" customFormat="false" ht="22.35" hidden="false" customHeight="false" outlineLevel="0" collapsed="false">
      <c r="A48" s="47" t="s">
        <v>461</v>
      </c>
      <c r="B48" s="47" t="s">
        <v>462</v>
      </c>
      <c r="C48" s="47" t="s">
        <v>463</v>
      </c>
      <c r="D48" s="47" t="s">
        <v>464</v>
      </c>
      <c r="E48" s="48"/>
      <c r="F48" s="47" t="s">
        <v>465</v>
      </c>
      <c r="G48" s="47" t="s">
        <v>327</v>
      </c>
      <c r="H48" s="49" t="n">
        <v>190000</v>
      </c>
      <c r="I48" s="50" t="s">
        <v>328</v>
      </c>
      <c r="J48" s="47" t="s">
        <v>460</v>
      </c>
    </row>
    <row r="49" customFormat="false" ht="15" hidden="false" customHeight="false" outlineLevel="0" collapsed="false">
      <c r="A49" s="52" t="s">
        <v>344</v>
      </c>
      <c r="B49" s="52"/>
      <c r="C49" s="52"/>
      <c r="D49" s="52"/>
      <c r="E49" s="52"/>
      <c r="F49" s="52"/>
      <c r="G49" s="52"/>
      <c r="H49" s="53" t="n">
        <f aca="false">IF(COUNT(H46:H48)=0,"",AVERAGE(H46:H48))</f>
        <v>194000</v>
      </c>
      <c r="I49" s="52" t="str">
        <f aca="false">IF(COUNT(H46:H48)=0,"",TEXT(MIN(H46:H48),"$#,##0")&amp;" – "&amp;TEXT(MAX(H46:H48),"$#,##0"))</f>
        <v>$190,000 – $200,000</v>
      </c>
      <c r="J49" s="36"/>
    </row>
    <row r="51" customFormat="false" ht="15" hidden="false" customHeight="false" outlineLevel="0" collapsed="false">
      <c r="A51" s="25" t="s">
        <v>345</v>
      </c>
    </row>
    <row r="52" customFormat="false" ht="53.7" hidden="false" customHeight="true" outlineLevel="0" collapsed="false">
      <c r="A52" s="26" t="s">
        <v>346</v>
      </c>
      <c r="B52" s="26"/>
      <c r="C52" s="26"/>
      <c r="D52" s="26" t="s">
        <v>347</v>
      </c>
      <c r="E52" s="26" t="s">
        <v>348</v>
      </c>
      <c r="F52" s="26" t="s">
        <v>349</v>
      </c>
      <c r="G52" s="26" t="s">
        <v>350</v>
      </c>
      <c r="H52" s="54" t="s">
        <v>351</v>
      </c>
    </row>
    <row r="53" customFormat="false" ht="68.65" hidden="false" customHeight="true" outlineLevel="0" collapsed="false">
      <c r="A53" s="22" t="s">
        <v>352</v>
      </c>
      <c r="B53" s="22"/>
      <c r="C53" s="22"/>
      <c r="D53" s="55" t="s">
        <v>353</v>
      </c>
      <c r="E53" s="56"/>
      <c r="F53" s="56"/>
      <c r="G53" s="56"/>
      <c r="H53" s="56"/>
    </row>
    <row r="54" customFormat="false" ht="15" hidden="false" customHeight="true" outlineLevel="0" collapsed="false">
      <c r="A54" s="22" t="s">
        <v>354</v>
      </c>
      <c r="B54" s="22"/>
      <c r="C54" s="22"/>
      <c r="D54" s="57" t="n">
        <v>121217</v>
      </c>
      <c r="E54" s="57"/>
      <c r="F54" s="57"/>
      <c r="G54" s="57"/>
      <c r="H54" s="57"/>
    </row>
    <row r="55" customFormat="false" ht="15" hidden="false" customHeight="true" outlineLevel="0" collapsed="false">
      <c r="A55" s="22" t="s">
        <v>355</v>
      </c>
      <c r="B55" s="22"/>
      <c r="C55" s="22"/>
      <c r="D55" s="58" t="n">
        <v>0.02</v>
      </c>
      <c r="E55" s="58"/>
      <c r="F55" s="58"/>
      <c r="G55" s="58"/>
      <c r="H55" s="58"/>
    </row>
    <row r="56" customFormat="false" ht="15" hidden="false" customHeight="true" outlineLevel="0" collapsed="false">
      <c r="A56" s="22" t="s">
        <v>356</v>
      </c>
      <c r="B56" s="22"/>
      <c r="C56" s="22"/>
      <c r="D56" s="56" t="n">
        <v>5</v>
      </c>
      <c r="E56" s="56"/>
      <c r="F56" s="56"/>
      <c r="G56" s="56"/>
      <c r="H56" s="56"/>
    </row>
    <row r="57" customFormat="false" ht="15" hidden="false" customHeight="true" outlineLevel="0" collapsed="false">
      <c r="A57" s="22" t="s">
        <v>357</v>
      </c>
      <c r="B57" s="22"/>
      <c r="C57" s="22"/>
      <c r="D57" s="59" t="n">
        <v>20</v>
      </c>
      <c r="E57" s="59"/>
      <c r="F57" s="59"/>
      <c r="G57" s="59"/>
      <c r="H57" s="59"/>
    </row>
    <row r="58" customFormat="false" ht="15" hidden="false" customHeight="true" outlineLevel="0" collapsed="false">
      <c r="A58" s="22" t="s">
        <v>358</v>
      </c>
      <c r="B58" s="22"/>
      <c r="C58" s="22"/>
      <c r="D58" s="60" t="n">
        <f aca="false">IF(OR(D54="",E18=""),"",D54-E18)</f>
        <v>0.320000000006985</v>
      </c>
      <c r="E58" s="60" t="str">
        <f aca="false">IF(OR(E54="",E18=""),"",E54-E18)</f>
        <v/>
      </c>
      <c r="F58" s="60" t="str">
        <f aca="false">IF(OR(F54="",E18=""),"",F54-E18)</f>
        <v/>
      </c>
      <c r="G58" s="60" t="str">
        <f aca="false">IF(OR(G54="",E18=""),"",G54-E18)</f>
        <v/>
      </c>
      <c r="H58" s="60" t="str">
        <f aca="false">IF(OR(H54="",E18=""),"",H54-E18)</f>
        <v/>
      </c>
    </row>
    <row r="59" customFormat="false" ht="15" hidden="false" customHeight="true" outlineLevel="0" collapsed="false">
      <c r="A59" s="22" t="s">
        <v>359</v>
      </c>
      <c r="B59" s="22"/>
      <c r="C59" s="22"/>
      <c r="D59" s="61" t="n">
        <f aca="false">IF(OR(D54="",E18=""),"",(D54-E18)/E18)</f>
        <v>2.6399007133918E-006</v>
      </c>
      <c r="E59" s="61" t="str">
        <f aca="false">IF(OR(E54="",E18=""),"",(E54-E18)/E18)</f>
        <v/>
      </c>
      <c r="F59" s="61" t="str">
        <f aca="false">IF(OR(F54="",E18=""),"",(F54-E18)/E18)</f>
        <v/>
      </c>
      <c r="G59" s="61" t="str">
        <f aca="false">IF(OR(G54="",E18=""),"",(G54-E18)/E18)</f>
        <v/>
      </c>
      <c r="H59" s="61" t="str">
        <f aca="false">IF(OR(H54="",E18=""),"",(H54-E18)/E18)</f>
        <v/>
      </c>
    </row>
    <row r="60" customFormat="false" ht="15" hidden="false" customHeight="true" outlineLevel="0" collapsed="false">
      <c r="A60" s="22" t="s">
        <v>360</v>
      </c>
      <c r="B60" s="22"/>
      <c r="C60" s="22"/>
      <c r="D60" s="62" t="n">
        <f aca="false">IF(OR(D54="",D13=""),"",D54/D13)</f>
        <v>0.0918459375605377</v>
      </c>
      <c r="E60" s="62" t="str">
        <f aca="false">IF(OR(E54="",D13=""),"",E54/D13)</f>
        <v/>
      </c>
      <c r="F60" s="62" t="str">
        <f aca="false">IF(OR(F54="",D13=""),"",F54/D13)</f>
        <v/>
      </c>
      <c r="G60" s="62" t="str">
        <f aca="false">IF(OR(G54="",D13=""),"",G54/D13)</f>
        <v/>
      </c>
      <c r="H60" s="62" t="str">
        <f aca="false">IF(OR(H54="",D13=""),"",H54/D13)</f>
        <v/>
      </c>
    </row>
    <row r="61" customFormat="false" ht="15" hidden="false" customHeight="true" outlineLevel="0" collapsed="false">
      <c r="A61" s="22" t="s">
        <v>361</v>
      </c>
      <c r="B61" s="22"/>
      <c r="C61" s="22"/>
      <c r="D61" s="61" t="n">
        <f aca="false">IF(OR(D54="",H49=""),"",(D54-H49)/H49)</f>
        <v>-0.375170103092784</v>
      </c>
      <c r="E61" s="61" t="str">
        <f aca="false">IF(OR(E54="",H49=""),"",(E54-H49)/H49)</f>
        <v/>
      </c>
      <c r="F61" s="61" t="str">
        <f aca="false">IF(OR(F54="",H49=""),"",(F54-H49)/H49)</f>
        <v/>
      </c>
      <c r="G61" s="61" t="str">
        <f aca="false">IF(OR(G54="",H49=""),"",(G54-H49)/H49)</f>
        <v/>
      </c>
      <c r="H61" s="61" t="str">
        <f aca="false">IF(OR(H54="",H49=""),"",(H54-H49)/H49)</f>
        <v/>
      </c>
    </row>
    <row r="62" customFormat="false" ht="15" hidden="false" customHeight="true" outlineLevel="0" collapsed="false">
      <c r="A62" s="22" t="s">
        <v>362</v>
      </c>
      <c r="B62" s="22"/>
      <c r="C62" s="22"/>
      <c r="D62" s="63" t="n">
        <f aca="true">IF(D54="","",SUMPRODUCT(D54*(1+IF(D55="",0,D55))^ROUNDDOWN((ROW(INDIRECT("1:10"))-1)/IF(D56="",5,D56),0)))</f>
        <v>1224291.7</v>
      </c>
      <c r="E62" s="63" t="str">
        <f aca="true">IF(E54="","",SUMPRODUCT(E54*(1+IF(E55="",0,E55))^ROUNDDOWN((ROW(INDIRECT("1:10"))-1)/IF(E56="",5,E56),0)))</f>
        <v/>
      </c>
      <c r="F62" s="63" t="str">
        <f aca="true">IF(F54="","",SUMPRODUCT(F54*(1+IF(F55="",0,F55))^ROUNDDOWN((ROW(INDIRECT("1:10"))-1)/IF(F56="",5,F56),0)))</f>
        <v/>
      </c>
      <c r="G62" s="63" t="str">
        <f aca="true">IF(G54="","",SUMPRODUCT(G54*(1+IF(G55="",0,G55))^ROUNDDOWN((ROW(INDIRECT("1:10"))-1)/IF(G56="",5,G56),0)))</f>
        <v/>
      </c>
      <c r="H62" s="63" t="str">
        <f aca="true">IF(H54="","",SUMPRODUCT(H54*(1+IF(H55="",0,H55))^ROUNDDOWN((ROW(INDIRECT("1:10"))-1)/IF(H56="",5,H56),0)))</f>
        <v/>
      </c>
    </row>
    <row r="63" customFormat="false" ht="15" hidden="false" customHeight="true" outlineLevel="0" collapsed="false">
      <c r="A63" s="22" t="s">
        <v>363</v>
      </c>
      <c r="B63" s="22"/>
      <c r="C63" s="22"/>
      <c r="D63" s="60" t="n">
        <f aca="false">IF(OR(D62="",E21=""),"",D62-E21)</f>
        <v>933371.668</v>
      </c>
      <c r="E63" s="60" t="str">
        <f aca="false">IF(OR(E62="",E21=""),"",E62-E21)</f>
        <v/>
      </c>
      <c r="F63" s="60" t="str">
        <f aca="false">IF(OR(F62="",E21=""),"",F62-E21)</f>
        <v/>
      </c>
      <c r="G63" s="60" t="str">
        <f aca="false">IF(OR(G62="",E21=""),"",G62-E21)</f>
        <v/>
      </c>
      <c r="H63" s="60" t="str">
        <f aca="false">IF(OR(H62="",E21=""),"",H62-E21)</f>
        <v/>
      </c>
    </row>
    <row r="64" customFormat="false" ht="23.85" hidden="false" customHeight="true" outlineLevel="0" collapsed="false">
      <c r="A64" s="22" t="s">
        <v>364</v>
      </c>
      <c r="B64" s="22"/>
      <c r="C64" s="22"/>
      <c r="D64" s="58"/>
      <c r="E64" s="58"/>
      <c r="F64" s="58"/>
      <c r="G64" s="58"/>
      <c r="H64" s="58"/>
    </row>
    <row r="65" customFormat="false" ht="23.85" hidden="false" customHeight="true" outlineLevel="0" collapsed="false">
      <c r="A65" s="22" t="s">
        <v>365</v>
      </c>
      <c r="B65" s="22"/>
      <c r="C65" s="22"/>
      <c r="D65" s="57"/>
      <c r="E65" s="57"/>
      <c r="F65" s="57"/>
      <c r="G65" s="57"/>
      <c r="H65" s="57"/>
    </row>
    <row r="66" customFormat="false" ht="15" hidden="false" customHeight="true" outlineLevel="0" collapsed="false">
      <c r="A66" s="22" t="s">
        <v>366</v>
      </c>
      <c r="B66" s="22"/>
      <c r="C66" s="22"/>
      <c r="D66" s="63" t="str">
        <f aca="false">IF(OR(D54="",AND(D64="",$D$35="")),"",IF(IF(D64="",IF($D$35="",0,$D$35),D64)=0,"— (% rent removed)",IF(D65&lt;&gt;"",D65,IF($D$37&lt;&gt;"",$D$37,D54/IF(D64="",IF($D$35="",0,$D$35),D64)))))</f>
        <v>— (% rent removed)</v>
      </c>
      <c r="E66" s="63" t="str">
        <f aca="false">IF(OR(E54="",AND(E64="",$D$35="")),"",IF(IF(E64="",IF($D$35="",0,$D$35),E64)=0,"— (% rent removed)",IF(E65&lt;&gt;"",E65,IF($D$37&lt;&gt;"",$D$37,E54/IF(E64="",IF($D$35="",0,$D$35),E64)))))</f>
        <v/>
      </c>
      <c r="F66" s="63" t="str">
        <f aca="false">IF(OR(F54="",AND(F64="",$D$35="")),"",IF(IF(F64="",IF($D$35="",0,$D$35),F64)=0,"— (% rent removed)",IF(F65&lt;&gt;"",F65,IF($D$37&lt;&gt;"",$D$37,F54/IF(F64="",IF($D$35="",0,$D$35),F64)))))</f>
        <v/>
      </c>
      <c r="G66" s="63" t="str">
        <f aca="false">IF(OR(G54="",AND(G64="",$D$35="")),"",IF(IF(G64="",IF($D$35="",0,$D$35),G64)=0,"— (% rent removed)",IF(G65&lt;&gt;"",G65,IF($D$37&lt;&gt;"",$D$37,G54/IF(G64="",IF($D$35="",0,$D$35),G64)))))</f>
        <v/>
      </c>
      <c r="H66" s="63" t="str">
        <f aca="false">IF(OR(H54="",AND(H64="",$D$35="")),"",IF(IF(H64="",IF($D$35="",0,$D$35),H64)=0,"— (% rent removed)",IF(H65&lt;&gt;"",H65,IF($D$37&lt;&gt;"",$D$37,H54/IF(H64="",IF($D$35="",0,$D$35),H64)))))</f>
        <v/>
      </c>
    </row>
    <row r="67" customFormat="false" ht="15" hidden="false" customHeight="true" outlineLevel="0" collapsed="false">
      <c r="A67" s="22" t="s">
        <v>367</v>
      </c>
      <c r="B67" s="22"/>
      <c r="C67" s="22"/>
      <c r="D67" s="63" t="n">
        <f aca="false">IF(OR(D54="",AND(D64="",$D$35=""),D13=""),"",IF(IF(D64="",IF($D$35="",0,$D$35),D64)=0,0,MAX(0,D13-D66)*IF(D64="",IF($D$35="",0,$D$35),D64)))</f>
        <v>0</v>
      </c>
      <c r="E67" s="63" t="str">
        <f aca="false">IF(OR(E54="",AND(E64="",$D$35=""),D13=""),"",IF(IF(E64="",IF($D$35="",0,$D$35),E64)=0,0,MAX(0,D13-E66)*IF(E64="",IF($D$35="",0,$D$35),E64)))</f>
        <v/>
      </c>
      <c r="F67" s="63" t="str">
        <f aca="false">IF(OR(F54="",AND(F64="",$D$35=""),D13=""),"",IF(IF(F64="",IF($D$35="",0,$D$35),F64)=0,0,MAX(0,D13-F66)*IF(F64="",IF($D$35="",0,$D$35),F64)))</f>
        <v/>
      </c>
      <c r="G67" s="63" t="str">
        <f aca="false">IF(OR(G54="",AND(G64="",$D$35=""),D13=""),"",IF(IF(G64="",IF($D$35="",0,$D$35),G64)=0,0,MAX(0,D13-G66)*IF(G64="",IF($D$35="",0,$D$35),G64)))</f>
        <v/>
      </c>
      <c r="H67" s="63" t="str">
        <f aca="false">IF(OR(H54="",AND(H64="",$D$35=""),D13=""),"",IF(IF(H64="",IF($D$35="",0,$D$35),H64)=0,0,MAX(0,D13-H66)*IF(H64="",IF($D$35="",0,$D$35),H64)))</f>
        <v/>
      </c>
    </row>
    <row r="68" customFormat="false" ht="15" hidden="false" customHeight="true" outlineLevel="0" collapsed="false">
      <c r="A68" s="22" t="s">
        <v>368</v>
      </c>
      <c r="B68" s="22"/>
      <c r="C68" s="22"/>
      <c r="D68" s="63" t="n">
        <f aca="false">IF(OR(D54="",D67=""),"",D54+D67)</f>
        <v>121217</v>
      </c>
      <c r="E68" s="63" t="str">
        <f aca="false">IF(OR(E54="",E67=""),"",E54+E67)</f>
        <v/>
      </c>
      <c r="F68" s="63" t="str">
        <f aca="false">IF(OR(F54="",F67=""),"",F54+F67)</f>
        <v/>
      </c>
      <c r="G68" s="63" t="str">
        <f aca="false">IF(OR(G54="",G67=""),"",G54+G67)</f>
        <v/>
      </c>
      <c r="H68" s="63" t="str">
        <f aca="false">IF(OR(H54="",H67=""),"",H54+H67)</f>
        <v/>
      </c>
    </row>
    <row r="69" customFormat="false" ht="15" hidden="false" customHeight="true" outlineLevel="0" collapsed="false">
      <c r="A69" s="22" t="s">
        <v>369</v>
      </c>
      <c r="B69" s="22"/>
      <c r="C69" s="22"/>
      <c r="D69" s="62" t="n">
        <f aca="false">IF(OR(D68="",D13=""),"",D68/D13)</f>
        <v>0.0918459375605377</v>
      </c>
      <c r="E69" s="62" t="str">
        <f aca="false">IF(OR(E68="",D13=""),"",E68/D13)</f>
        <v/>
      </c>
      <c r="F69" s="62" t="str">
        <f aca="false">IF(OR(F68="",D13=""),"",F68/D13)</f>
        <v/>
      </c>
      <c r="G69" s="62" t="str">
        <f aca="false">IF(OR(G68="",D13=""),"",G68/D13)</f>
        <v/>
      </c>
      <c r="H69" s="62" t="str">
        <f aca="false">IF(OR(H68="",D13=""),"",H68/D13)</f>
        <v/>
      </c>
    </row>
    <row r="70" customFormat="false" ht="23.85" hidden="false" customHeight="true" outlineLevel="0" collapsed="false">
      <c r="A70" s="22" t="s">
        <v>370</v>
      </c>
      <c r="B70" s="22"/>
      <c r="C70" s="22"/>
      <c r="D70" s="64" t="n">
        <f aca="false">IF(D68="","",(207149.67-D68)/1319786.19)</f>
        <v>0.065111054086723</v>
      </c>
      <c r="E70" s="64" t="str">
        <f aca="false">IF(E68="","",(207149.67-E68)/1319786.19)</f>
        <v/>
      </c>
      <c r="F70" s="64" t="str">
        <f aca="false">IF(F68="","",(207149.67-F68)/1319786.19)</f>
        <v/>
      </c>
      <c r="G70" s="64" t="str">
        <f aca="false">IF(G68="","",(207149.67-G68)/1319786.19)</f>
        <v/>
      </c>
      <c r="H70" s="64" t="str">
        <f aca="false">IF(H68="","",(207149.67-H68)/1319786.19)</f>
        <v/>
      </c>
    </row>
    <row r="71" customFormat="false" ht="15" hidden="false" customHeight="true" outlineLevel="0" collapsed="false">
      <c r="A71" s="22" t="s">
        <v>371</v>
      </c>
      <c r="B71" s="22"/>
      <c r="C71" s="22"/>
      <c r="D71" s="63" t="n">
        <f aca="true">IF(OR(D54="",AND(D64="",$D$35=""),D13=""),"",IF(IF(D64="",IF($D$35="",0,$D$35),D64)=0,0,SUMPRODUCT(((D13*1.02^(ROW(INDIRECT("1:10"))-1))-(IF(D65&lt;&gt;"",D65,IF($D$37&lt;&gt;"",$D$37,(D54*(1+IF(D55="",0,D55))^ROUNDDOWN((ROW(INDIRECT("1:10"))-1)/IF(D56="",5,D56),0))/IF(D64="",IF($D$35="",0,$D$35),D64))))&gt;0)*((D13*1.02^(ROW(INDIRECT("1:10"))-1))-(IF(D65&lt;&gt;"",D65,IF($D$37&lt;&gt;"",$D$37,(D54*(1+IF(D55="",0,D55))^ROUNDDOWN((ROW(INDIRECT("1:10"))-1)/IF(D56="",5,D56),0))/IF(D64="",IF($D$35="",0,$D$35),D64))))))*IF(D64="",IF($D$35="",0,$D$35),D64)))</f>
        <v>0</v>
      </c>
      <c r="E71" s="63" t="str">
        <f aca="true">IF(OR(E54="",AND(E64="",$D$35=""),D13=""),"",IF(IF(E64="",IF($D$35="",0,$D$35),E64)=0,0,SUMPRODUCT(((D13*1.02^(ROW(INDIRECT("1:10"))-1))-(IF(E65&lt;&gt;"",E65,IF($D$37&lt;&gt;"",$D$37,(E54*(1+IF(E55="",0,E55))^ROUNDDOWN((ROW(INDIRECT("1:10"))-1)/IF(E56="",5,E56),0))/IF(E64="",IF($D$35="",0,$D$35),E64))))&gt;0)*((D13*1.02^(ROW(INDIRECT("1:10"))-1))-(IF(E65&lt;&gt;"",E65,IF($D$37&lt;&gt;"",$D$37,(E54*(1+IF(E55="",0,E55))^ROUNDDOWN((ROW(INDIRECT("1:10"))-1)/IF(E56="",5,E56),0))/IF(E64="",IF($D$35="",0,$D$35),E64))))))*IF(E64="",IF($D$35="",0,$D$35),E64)))</f>
        <v/>
      </c>
      <c r="F71" s="63" t="str">
        <f aca="true">IF(OR(F54="",AND(F64="",$D$35=""),D13=""),"",IF(IF(F64="",IF($D$35="",0,$D$35),F64)=0,0,SUMPRODUCT(((D13*1.02^(ROW(INDIRECT("1:10"))-1))-(IF(F65&lt;&gt;"",F65,IF($D$37&lt;&gt;"",$D$37,(F54*(1+IF(F55="",0,F55))^ROUNDDOWN((ROW(INDIRECT("1:10"))-1)/IF(F56="",5,F56),0))/IF(F64="",IF($D$35="",0,$D$35),F64))))&gt;0)*((D13*1.02^(ROW(INDIRECT("1:10"))-1))-(IF(F65&lt;&gt;"",F65,IF($D$37&lt;&gt;"",$D$37,(F54*(1+IF(F55="",0,F55))^ROUNDDOWN((ROW(INDIRECT("1:10"))-1)/IF(F56="",5,F56),0))/IF(F64="",IF($D$35="",0,$D$35),F64))))))*IF(F64="",IF($D$35="",0,$D$35),F64)))</f>
        <v/>
      </c>
      <c r="G71" s="63" t="str">
        <f aca="true">IF(OR(G54="",AND(G64="",$D$35=""),D13=""),"",IF(IF(G64="",IF($D$35="",0,$D$35),G64)=0,0,SUMPRODUCT(((D13*1.02^(ROW(INDIRECT("1:10"))-1))-(IF(G65&lt;&gt;"",G65,IF($D$37&lt;&gt;"",$D$37,(G54*(1+IF(G55="",0,G55))^ROUNDDOWN((ROW(INDIRECT("1:10"))-1)/IF(G56="",5,G56),0))/IF(G64="",IF($D$35="",0,$D$35),G64))))&gt;0)*((D13*1.02^(ROW(INDIRECT("1:10"))-1))-(IF(G65&lt;&gt;"",G65,IF($D$37&lt;&gt;"",$D$37,(G54*(1+IF(G55="",0,G55))^ROUNDDOWN((ROW(INDIRECT("1:10"))-1)/IF(G56="",5,G56),0))/IF(G64="",IF($D$35="",0,$D$35),G64))))))*IF(G64="",IF($D$35="",0,$D$35),G64)))</f>
        <v/>
      </c>
      <c r="H71" s="63" t="str">
        <f aca="true">IF(OR(H54="",AND(H64="",$D$35=""),D13=""),"",IF(IF(H64="",IF($D$35="",0,$D$35),H64)=0,0,SUMPRODUCT(((D13*1.02^(ROW(INDIRECT("1:10"))-1))-(IF(H65&lt;&gt;"",H65,IF($D$37&lt;&gt;"",$D$37,(H54*(1+IF(H55="",0,H55))^ROUNDDOWN((ROW(INDIRECT("1:10"))-1)/IF(H56="",5,H56),0))/IF(H64="",IF($D$35="",0,$D$35),H64))))&gt;0)*((D13*1.02^(ROW(INDIRECT("1:10"))-1))-(IF(H65&lt;&gt;"",H65,IF($D$37&lt;&gt;"",$D$37,(H54*(1+IF(H55="",0,H55))^ROUNDDOWN((ROW(INDIRECT("1:10"))-1)/IF(H56="",5,H56),0))/IF(H64="",IF($D$35="",0,$D$35),H64))))))*IF(H64="",IF($D$35="",0,$D$35),H64)))</f>
        <v/>
      </c>
    </row>
    <row r="72" customFormat="false" ht="15" hidden="false" customHeight="true" outlineLevel="0" collapsed="false">
      <c r="A72" s="22" t="s">
        <v>372</v>
      </c>
      <c r="B72" s="22"/>
      <c r="C72" s="22"/>
      <c r="D72" s="63" t="n">
        <f aca="false">IF(OR(D62="",D71=""),"",D62+D71)</f>
        <v>1224291.7</v>
      </c>
      <c r="E72" s="63" t="str">
        <f aca="false">IF(OR(E62="",E71=""),"",E62+E71)</f>
        <v/>
      </c>
      <c r="F72" s="63" t="str">
        <f aca="false">IF(OR(F62="",F71=""),"",F62+F71)</f>
        <v/>
      </c>
      <c r="G72" s="63" t="str">
        <f aca="false">IF(OR(G62="",G71=""),"",G62+G71)</f>
        <v/>
      </c>
      <c r="H72" s="63" t="str">
        <f aca="false">IF(OR(H62="",H71=""),"",H62+H71)</f>
        <v/>
      </c>
    </row>
    <row r="73" customFormat="false" ht="23.85" hidden="false" customHeight="true" outlineLevel="0" collapsed="false">
      <c r="A73" s="22" t="s">
        <v>373</v>
      </c>
      <c r="B73" s="22"/>
      <c r="C73" s="22"/>
      <c r="D73" s="65" t="n">
        <f aca="true">IF(D54="","",SUMPRODUCT(D54*(1+IF(D55="",0,D55))^ROUNDDOWN((ROW(INDIRECT("1:"&amp;IF(D57="",10,D57)))-1)/IF(D56="",5,D56),0))+IF(OR(D13="",IF(D64="",IF($D$35="",0,$D$35),D64)=0),0,SUMPRODUCT(((D13*1.02^(ROW(INDIRECT("1:"&amp;IF(D57="",10,D57)))-1))-(IF(D65&lt;&gt;"",D65,IF($D$37&lt;&gt;"",$D$37,(D54*(1+IF(D55="",0,D55))^ROUNDDOWN((ROW(INDIRECT("1:"&amp;IF(D57="",10,D57)))-1)/IF(D56="",5,D56),0))/IF(D64="",IF($D$35="",0,$D$35),D64))))&gt;0)*((D13*1.02^(ROW(INDIRECT("1:"&amp;IF(D57="",10,D57)))-1))-(IF(D65&lt;&gt;"",D65,IF($D$37&lt;&gt;"",$D$37,(D54*(1+IF(D55="",0,D55))^ROUNDDOWN((ROW(INDIRECT("1:"&amp;IF(D57="",10,D57)))-1)/IF(D56="",5,D56),0))/IF(D64="",IF($D$35="",0,$D$35),D64))))))*IF(D64="",IF($D$35="",0,$D$35),D64)))</f>
        <v>2498044.78468</v>
      </c>
      <c r="E73" s="65" t="str">
        <f aca="true">IF(E54="","",SUMPRODUCT(E54*(1+IF(E55="",0,E55))^ROUNDDOWN((ROW(INDIRECT("1:"&amp;IF(E57="",10,E57)))-1)/IF(E56="",5,E56),0))+IF(OR(D13="",IF(E64="",IF($D$35="",0,$D$35),E64)=0),0,SUMPRODUCT(((D13*1.02^(ROW(INDIRECT("1:"&amp;IF(E57="",10,E57)))-1))-(IF(E65&lt;&gt;"",E65,IF($D$37&lt;&gt;"",$D$37,(E54*(1+IF(E55="",0,E55))^ROUNDDOWN((ROW(INDIRECT("1:"&amp;IF(E57="",10,E57)))-1)/IF(E56="",5,E56),0))/IF(E64="",IF($D$35="",0,$D$35),E64))))&gt;0)*((D13*1.02^(ROW(INDIRECT("1:"&amp;IF(E57="",10,E57)))-1))-(IF(E65&lt;&gt;"",E65,IF($D$37&lt;&gt;"",$D$37,(E54*(1+IF(E55="",0,E55))^ROUNDDOWN((ROW(INDIRECT("1:"&amp;IF(E57="",10,E57)))-1)/IF(E56="",5,E56),0))/IF(E64="",IF($D$35="",0,$D$35),E64))))))*IF(E64="",IF($D$35="",0,$D$35),E64)))</f>
        <v/>
      </c>
      <c r="F73" s="65" t="str">
        <f aca="true">IF(F54="","",SUMPRODUCT(F54*(1+IF(F55="",0,F55))^ROUNDDOWN((ROW(INDIRECT("1:"&amp;IF(F57="",10,F57)))-1)/IF(F56="",5,F56),0))+IF(OR(D13="",IF(F64="",IF($D$35="",0,$D$35),F64)=0),0,SUMPRODUCT(((D13*1.02^(ROW(INDIRECT("1:"&amp;IF(F57="",10,F57)))-1))-(IF(F65&lt;&gt;"",F65,IF($D$37&lt;&gt;"",$D$37,(F54*(1+IF(F55="",0,F55))^ROUNDDOWN((ROW(INDIRECT("1:"&amp;IF(F57="",10,F57)))-1)/IF(F56="",5,F56),0))/IF(F64="",IF($D$35="",0,$D$35),F64))))&gt;0)*((D13*1.02^(ROW(INDIRECT("1:"&amp;IF(F57="",10,F57)))-1))-(IF(F65&lt;&gt;"",F65,IF($D$37&lt;&gt;"",$D$37,(F54*(1+IF(F55="",0,F55))^ROUNDDOWN((ROW(INDIRECT("1:"&amp;IF(F57="",10,F57)))-1)/IF(F56="",5,F56),0))/IF(F64="",IF($D$35="",0,$D$35),F64))))))*IF(F64="",IF($D$35="",0,$D$35),F64)))</f>
        <v/>
      </c>
      <c r="G73" s="65" t="str">
        <f aca="true">IF(G54="","",SUMPRODUCT(G54*(1+IF(G55="",0,G55))^ROUNDDOWN((ROW(INDIRECT("1:"&amp;IF(G57="",10,G57)))-1)/IF(G56="",5,G56),0))+IF(OR(D13="",IF(G64="",IF($D$35="",0,$D$35),G64)=0),0,SUMPRODUCT(((D13*1.02^(ROW(INDIRECT("1:"&amp;IF(G57="",10,G57)))-1))-(IF(G65&lt;&gt;"",G65,IF($D$37&lt;&gt;"",$D$37,(G54*(1+IF(G55="",0,G55))^ROUNDDOWN((ROW(INDIRECT("1:"&amp;IF(G57="",10,G57)))-1)/IF(G56="",5,G56),0))/IF(G64="",IF($D$35="",0,$D$35),G64))))&gt;0)*((D13*1.02^(ROW(INDIRECT("1:"&amp;IF(G57="",10,G57)))-1))-(IF(G65&lt;&gt;"",G65,IF($D$37&lt;&gt;"",$D$37,(G54*(1+IF(G55="",0,G55))^ROUNDDOWN((ROW(INDIRECT("1:"&amp;IF(G57="",10,G57)))-1)/IF(G56="",5,G56),0))/IF(G64="",IF($D$35="",0,$D$35),G64))))))*IF(G64="",IF($D$35="",0,$D$35),G64)))</f>
        <v/>
      </c>
      <c r="H73" s="65" t="str">
        <f aca="true">IF(H54="","",SUMPRODUCT(H54*(1+IF(H55="",0,H55))^ROUNDDOWN((ROW(INDIRECT("1:"&amp;IF(H57="",10,H57)))-1)/IF(H56="",5,H56),0))+IF(OR(D13="",IF(H64="",IF($D$35="",0,$D$35),H64)=0),0,SUMPRODUCT(((D13*1.02^(ROW(INDIRECT("1:"&amp;IF(H57="",10,H57)))-1))-(IF(H65&lt;&gt;"",H65,IF($D$37&lt;&gt;"",$D$37,(H54*(1+IF(H55="",0,H55))^ROUNDDOWN((ROW(INDIRECT("1:"&amp;IF(H57="",10,H57)))-1)/IF(H56="",5,H56),0))/IF(H64="",IF($D$35="",0,$D$35),H64))))&gt;0)*((D13*1.02^(ROW(INDIRECT("1:"&amp;IF(H57="",10,H57)))-1))-(IF(H65&lt;&gt;"",H65,IF($D$37&lt;&gt;"",$D$37,(H54*(1+IF(H55="",0,H55))^ROUNDDOWN((ROW(INDIRECT("1:"&amp;IF(H57="",10,H57)))-1)/IF(H56="",5,H56),0))/IF(H64="",IF($D$35="",0,$D$35),H64))))))*IF(H64="",IF($D$35="",0,$D$35),H64)))</f>
        <v/>
      </c>
    </row>
    <row r="74" customFormat="false" ht="15" hidden="false" customHeight="true" outlineLevel="0" collapsed="false">
      <c r="A74" s="22" t="s">
        <v>374</v>
      </c>
      <c r="B74" s="22"/>
      <c r="C74" s="22"/>
      <c r="D74" s="62" t="n">
        <f aca="false">IF(D54="","",IF(D55="",0,(1+D55)^(5/IF(D56="",5,D56))-1))</f>
        <v>0.02</v>
      </c>
      <c r="E74" s="62" t="str">
        <f aca="false">IF(E54="","",IF(E55="",0,(1+E55)^(5/IF(E56="",5,E56))-1))</f>
        <v/>
      </c>
      <c r="F74" s="62" t="str">
        <f aca="false">IF(F54="","",IF(F55="",0,(1+F55)^(5/IF(F56="",5,F56))-1))</f>
        <v/>
      </c>
      <c r="G74" s="62" t="str">
        <f aca="false">IF(G54="","",IF(G55="",0,(1+G55)^(5/IF(G56="",5,G56))-1))</f>
        <v/>
      </c>
      <c r="H74" s="62" t="str">
        <f aca="false">IF(H54="","",IF(H55="",0,(1+H55)^(5/IF(H56="",5,H56))-1))</f>
        <v/>
      </c>
    </row>
    <row r="75" customFormat="false" ht="43.25" hidden="false" customHeight="true" outlineLevel="0" collapsed="false">
      <c r="A75" s="22" t="s">
        <v>375</v>
      </c>
      <c r="B75" s="22"/>
      <c r="C75" s="22"/>
      <c r="D75" s="66" t="str">
        <f aca="false">IF(D74="","",IF(D74&lt;=0,"REDUCTION / FLAT — ladder steps 1-2 (best)",IF(D74&lt;=0.08,"OK — within 8%/5-yr in-house authority (ladder step 3)","ABOVE 8%/5-yr — CEO SIGN-OFF REQUIRED (Rob 8/5/26)")))</f>
        <v>OK — within 8%/5-yr in-house authority (ladder step 3)</v>
      </c>
      <c r="E75" s="66" t="str">
        <f aca="false">IF(E74="","",IF(E74&lt;=0,"REDUCTION / FLAT — ladder steps 1-2 (best)",IF(E74&lt;=0.08,"OK — within 8%/5-yr in-house authority (ladder step 3)","ABOVE 8%/5-yr — CEO SIGN-OFF REQUIRED (Rob 8/5/26)")))</f>
        <v/>
      </c>
      <c r="F75" s="66" t="str">
        <f aca="false">IF(F74="","",IF(F74&lt;=0,"REDUCTION / FLAT — ladder steps 1-2 (best)",IF(F74&lt;=0.08,"OK — within 8%/5-yr in-house authority (ladder step 3)","ABOVE 8%/5-yr — CEO SIGN-OFF REQUIRED (Rob 8/5/26)")))</f>
        <v/>
      </c>
      <c r="G75" s="66" t="str">
        <f aca="false">IF(G74="","",IF(G74&lt;=0,"REDUCTION / FLAT — ladder steps 1-2 (best)",IF(G74&lt;=0.08,"OK — within 8%/5-yr in-house authority (ladder step 3)","ABOVE 8%/5-yr — CEO SIGN-OFF REQUIRED (Rob 8/5/26)")))</f>
        <v/>
      </c>
      <c r="H75" s="66" t="str">
        <f aca="false">IF(H74="","",IF(H74&lt;=0,"REDUCTION / FLAT — ladder steps 1-2 (best)",IF(H74&lt;=0.08,"OK — within 8%/5-yr in-house authority (ladder step 3)","ABOVE 8%/5-yr — CEO SIGN-OFF REQUIRED (Rob 8/5/26)")))</f>
        <v/>
      </c>
    </row>
    <row r="76" customFormat="false" ht="23.85" hidden="false" customHeight="true" outlineLevel="0" collapsed="false">
      <c r="A76" s="22" t="s">
        <v>376</v>
      </c>
      <c r="B76" s="22"/>
      <c r="C76" s="22"/>
      <c r="D76" s="62" t="n">
        <f aca="false">IF(OR(D54="",D13=""),"",((D54*(1+IF(D55="",0,D55))^ROUNDDOWN(9/IF(D56="",5,D56),0))+IF(IF(D64="",IF($D$35="",0,$D$35),D64)=0,0,MAX(0,D13*1.02^9-IF(D65&lt;&gt;"",D65,IF($D$37&lt;&gt;"",$D$37,(D54*(1+IF(D55="",0,D55))^ROUNDDOWN(9/IF(D56="",5,D56),0))/IF(D64="",IF($D$35="",0,$D$35),D64))))*IF(D64="",IF($D$35="",0,$D$35),D64)))/(D13*1.02^9))</f>
        <v>0.0783896233408472</v>
      </c>
      <c r="E76" s="62" t="str">
        <f aca="false">IF(OR(E54="",D13=""),"",((E54*(1+IF(E55="",0,E55))^ROUNDDOWN(9/IF(E56="",5,E56),0))+IF(IF(E64="",IF($D$35="",0,$D$35),E64)=0,0,MAX(0,D13*1.02^9-IF(E65&lt;&gt;"",E65,IF($D$37&lt;&gt;"",$D$37,(E54*(1+IF(E55="",0,E55))^ROUNDDOWN(9/IF(E56="",5,E56),0))/IF(E64="",IF($D$35="",0,$D$35),E64))))*IF(E64="",IF($D$35="",0,$D$35),E64)))/(D13*1.02^9))</f>
        <v/>
      </c>
      <c r="F76" s="62" t="str">
        <f aca="false">IF(OR(F54="",D13=""),"",((F54*(1+IF(F55="",0,F55))^ROUNDDOWN(9/IF(F56="",5,F56),0))+IF(IF(F64="",IF($D$35="",0,$D$35),F64)=0,0,MAX(0,D13*1.02^9-IF(F65&lt;&gt;"",F65,IF($D$37&lt;&gt;"",$D$37,(F54*(1+IF(F55="",0,F55))^ROUNDDOWN(9/IF(F56="",5,F56),0))/IF(F64="",IF($D$35="",0,$D$35),F64))))*IF(F64="",IF($D$35="",0,$D$35),F64)))/(D13*1.02^9))</f>
        <v/>
      </c>
      <c r="G76" s="62" t="str">
        <f aca="false">IF(OR(G54="",D13=""),"",((G54*(1+IF(G55="",0,G55))^ROUNDDOWN(9/IF(G56="",5,G56),0))+IF(IF(G64="",IF($D$35="",0,$D$35),G64)=0,0,MAX(0,D13*1.02^9-IF(G65&lt;&gt;"",G65,IF($D$37&lt;&gt;"",$D$37,(G54*(1+IF(G55="",0,G55))^ROUNDDOWN(9/IF(G56="",5,G56),0))/IF(G64="",IF($D$35="",0,$D$35),G64))))*IF(G64="",IF($D$35="",0,$D$35),G64)))/(D13*1.02^9))</f>
        <v/>
      </c>
      <c r="H76" s="62" t="str">
        <f aca="false">IF(OR(H54="",D13=""),"",((H54*(1+IF(H55="",0,H55))^ROUNDDOWN(9/IF(H56="",5,H56),0))+IF(IF(H64="",IF($D$35="",0,$D$35),H64)=0,0,MAX(0,D13*1.02^9-IF(H65&lt;&gt;"",H65,IF($D$37&lt;&gt;"",$D$37,(H54*(1+IF(H55="",0,H55))^ROUNDDOWN(9/IF(H56="",5,H56),0))/IF(H64="",IF($D$35="",0,$D$35),H64))))*IF(H64="",IF($D$35="",0,$D$35),H64)))/(D13*1.02^9))</f>
        <v/>
      </c>
    </row>
    <row r="77" customFormat="false" ht="74.6" hidden="false" customHeight="true" outlineLevel="0" collapsed="false">
      <c r="A77" s="22" t="s">
        <v>377</v>
      </c>
      <c r="B77" s="22"/>
      <c r="C77" s="22"/>
      <c r="D77" s="66" t="str">
        <f aca="false">IF(OR(D76="",D69=""),"",IF(MAX(D69,D76)&gt;=0.08,"HARD STOP — occupancy at/above 8% of sales: STOP, CEO sign-off before responding",IF(MAX(D69,D76)&gt;0.07,"Above Kim 7% alert — approaching 8% hard stop","OK — under 7% alert")))</f>
        <v>HARD STOP — occupancy at/above 8% of sales: STOP, CEO sign-off before responding</v>
      </c>
      <c r="E77" s="66" t="str">
        <f aca="false">IF(OR(E76="",E69=""),"",IF(MAX(E69,E76)&gt;=0.08,"HARD STOP — occupancy at/above 8% of sales: STOP, CEO sign-off before responding",IF(MAX(E69,E76)&gt;0.07,"Above Kim 7% alert — approaching 8% hard stop","OK — under 7% alert")))</f>
        <v/>
      </c>
      <c r="F77" s="66" t="str">
        <f aca="false">IF(OR(F76="",F69=""),"",IF(MAX(F69,F76)&gt;=0.08,"HARD STOP — occupancy at/above 8% of sales: STOP, CEO sign-off before responding",IF(MAX(F69,F76)&gt;0.07,"Above Kim 7% alert — approaching 8% hard stop","OK — under 7% alert")))</f>
        <v/>
      </c>
      <c r="G77" s="66" t="str">
        <f aca="false">IF(OR(G76="",G69=""),"",IF(MAX(G69,G76)&gt;=0.08,"HARD STOP — occupancy at/above 8% of sales: STOP, CEO sign-off before responding",IF(MAX(G69,G76)&gt;0.07,"Above Kim 7% alert — approaching 8% hard stop","OK — under 7% alert")))</f>
        <v/>
      </c>
      <c r="H77" s="66" t="str">
        <f aca="false">IF(OR(H76="",H69=""),"",IF(MAX(H69,H76)&gt;=0.08,"HARD STOP — occupancy at/above 8% of sales: STOP, CEO sign-off before responding",IF(MAX(H69,H76)&gt;0.07,"Above Kim 7% alert — approaching 8% hard stop","OK — under 7% alert")))</f>
        <v/>
      </c>
    </row>
    <row r="79" customFormat="false" ht="22.35" hidden="false" customHeight="true" outlineLevel="0" collapsed="false">
      <c r="A79" s="67" t="s">
        <v>466</v>
      </c>
      <c r="B79" s="67"/>
      <c r="C79" s="67"/>
      <c r="D79" s="67"/>
      <c r="E79" s="67"/>
      <c r="F79" s="67"/>
      <c r="G79" s="67"/>
      <c r="H79" s="67"/>
      <c r="I79" s="67"/>
      <c r="J79" s="67"/>
    </row>
    <row r="80" customFormat="false" ht="22.35" hidden="false" customHeight="true" outlineLevel="0" collapsed="false">
      <c r="A80" s="68" t="s">
        <v>379</v>
      </c>
      <c r="B80" s="68"/>
      <c r="C80" s="68"/>
      <c r="D80" s="68"/>
      <c r="E80" s="68"/>
      <c r="F80" s="68"/>
      <c r="G80" s="68"/>
      <c r="H80" s="68"/>
      <c r="I80" s="68"/>
      <c r="J80" s="68"/>
    </row>
    <row r="82" customFormat="false" ht="15" hidden="false" customHeight="false" outlineLevel="0" collapsed="false">
      <c r="A82" s="69" t="s">
        <v>380</v>
      </c>
      <c r="B82" s="69"/>
      <c r="C82" s="69"/>
      <c r="D82" s="69"/>
      <c r="E82" s="69"/>
      <c r="F82" s="69"/>
      <c r="G82" s="69"/>
      <c r="H82" s="69"/>
      <c r="I82" s="69"/>
      <c r="J82" s="69"/>
    </row>
    <row r="85" customFormat="false" ht="15" hidden="false" customHeight="false" outlineLevel="0" collapsed="false">
      <c r="A85" s="25" t="s">
        <v>381</v>
      </c>
    </row>
    <row r="86" customFormat="false" ht="15" hidden="false" customHeight="false" outlineLevel="0" collapsed="false">
      <c r="A86" s="69" t="s">
        <v>382</v>
      </c>
      <c r="B86" s="69"/>
      <c r="C86" s="69"/>
      <c r="D86" s="69"/>
      <c r="E86" s="69"/>
      <c r="F86" s="69"/>
      <c r="G86" s="69"/>
      <c r="H86" s="69"/>
      <c r="I86" s="69"/>
      <c r="J86" s="69"/>
      <c r="K86" s="69"/>
      <c r="L86" s="69"/>
      <c r="M86" s="69"/>
      <c r="N86" s="69"/>
      <c r="O86" s="69"/>
      <c r="P86" s="69"/>
      <c r="Q86" s="69"/>
      <c r="R86" s="69"/>
      <c r="S86" s="69"/>
      <c r="T86" s="69"/>
    </row>
    <row r="87" customFormat="false" ht="15" hidden="false" customHeight="true" outlineLevel="0" collapsed="false">
      <c r="A87" s="70" t="s">
        <v>383</v>
      </c>
      <c r="B87" s="70" t="s">
        <v>384</v>
      </c>
      <c r="C87" s="71" t="s">
        <v>385</v>
      </c>
      <c r="D87" s="71"/>
      <c r="E87" s="71"/>
      <c r="F87" s="71" t="s">
        <v>386</v>
      </c>
      <c r="G87" s="71"/>
      <c r="H87" s="71"/>
      <c r="I87" s="71" t="s">
        <v>387</v>
      </c>
      <c r="J87" s="71"/>
      <c r="K87" s="71"/>
      <c r="L87" s="71" t="s">
        <v>388</v>
      </c>
      <c r="M87" s="71"/>
      <c r="N87" s="71"/>
      <c r="O87" s="71" t="s">
        <v>389</v>
      </c>
      <c r="P87" s="71"/>
      <c r="Q87" s="71"/>
      <c r="R87" s="72" t="s">
        <v>390</v>
      </c>
      <c r="S87" s="72"/>
      <c r="T87" s="72"/>
    </row>
    <row r="88" customFormat="false" ht="15" hidden="false" customHeight="false" outlineLevel="0" collapsed="false">
      <c r="A88" s="73"/>
      <c r="B88" s="73"/>
      <c r="C88" s="73" t="s">
        <v>391</v>
      </c>
      <c r="D88" s="73" t="s">
        <v>392</v>
      </c>
      <c r="E88" s="73" t="s">
        <v>393</v>
      </c>
      <c r="F88" s="73" t="s">
        <v>391</v>
      </c>
      <c r="G88" s="73" t="s">
        <v>392</v>
      </c>
      <c r="H88" s="73" t="s">
        <v>393</v>
      </c>
      <c r="I88" s="73" t="s">
        <v>391</v>
      </c>
      <c r="J88" s="73" t="s">
        <v>392</v>
      </c>
      <c r="K88" s="73" t="s">
        <v>393</v>
      </c>
      <c r="L88" s="73" t="s">
        <v>391</v>
      </c>
      <c r="M88" s="73" t="s">
        <v>392</v>
      </c>
      <c r="N88" s="73" t="s">
        <v>393</v>
      </c>
      <c r="O88" s="73" t="s">
        <v>391</v>
      </c>
      <c r="P88" s="73" t="s">
        <v>392</v>
      </c>
      <c r="Q88" s="73" t="s">
        <v>393</v>
      </c>
      <c r="R88" s="73" t="s">
        <v>391</v>
      </c>
      <c r="S88" s="73" t="s">
        <v>392</v>
      </c>
      <c r="T88" s="73" t="s">
        <v>393</v>
      </c>
    </row>
    <row r="89" customFormat="false" ht="15" hidden="false" customHeight="false" outlineLevel="0" collapsed="false">
      <c r="A89" s="74" t="n">
        <v>1</v>
      </c>
      <c r="B89" s="75" t="n">
        <v>1319786</v>
      </c>
      <c r="C89" s="76" t="n">
        <v>121217</v>
      </c>
      <c r="D89" s="76" t="n">
        <v>0</v>
      </c>
      <c r="E89" s="76" t="n">
        <v>121217</v>
      </c>
      <c r="F89" s="75" t="n">
        <f aca="false">IF(D54="","",IF(1&gt;IF(D57="",10,D57),"",D54*(1+IF(D55="",0,D55))^ROUNDDOWN((1-1)/IF(D56="",5,D56),0)))</f>
        <v>121217</v>
      </c>
      <c r="G89" s="75" t="n">
        <f aca="false">IF(F89="","",IF((IF(D64="",IF($D$35="",0,$D$35),D64))=0,0,MAX(0,1319786.19-(IF(D65&lt;&gt;"",D65,IF($D$37&lt;&gt;"",$D$37,IF((IF(D64="",IF($D$35="",0,$D$35),D64))=0,0,D54/(IF(D64="",IF($D$35="",0,$D$35),D64)))))))*(IF(D64="",IF($D$35="",0,$D$35),D64))))</f>
        <v>0</v>
      </c>
      <c r="H89" s="75" t="n">
        <f aca="false">IF(F89="","",F89+G89)</f>
        <v>121217</v>
      </c>
      <c r="I89" s="75" t="str">
        <f aca="false">IF(E54="","",IF(1&gt;IF(E57="",10,E57),"",E54*(1+IF(E55="",0,E55))^ROUNDDOWN((1-1)/IF(E56="",5,E56),0)))</f>
        <v/>
      </c>
      <c r="J89" s="75" t="str">
        <f aca="false">IF(I89="","",IF((IF(E64="",IF($D$35="",0,$D$35),E64))=0,0,MAX(0,1319786.19-(IF(E65&lt;&gt;"",E65,IF($D$37&lt;&gt;"",$D$37,IF((IF(E64="",IF($D$35="",0,$D$35),E64))=0,0,E54/(IF(E64="",IF($D$35="",0,$D$35),E64)))))))*(IF(E64="",IF($D$35="",0,$D$35),E64))))</f>
        <v/>
      </c>
      <c r="K89" s="75" t="str">
        <f aca="false">IF(I89="","",I89+J89)</f>
        <v/>
      </c>
      <c r="L89" s="75" t="str">
        <f aca="false">IF(F54="","",IF(1&gt;IF(F57="",10,F57),"",F54*(1+IF(F55="",0,F55))^ROUNDDOWN((1-1)/IF(F56="",5,F56),0)))</f>
        <v/>
      </c>
      <c r="M89" s="75" t="str">
        <f aca="false">IF(L89="","",IF((IF(F64="",IF($D$35="",0,$D$35),F64))=0,0,MAX(0,1319786.19-(IF(F65&lt;&gt;"",F65,IF($D$37&lt;&gt;"",$D$37,IF((IF(F64="",IF($D$35="",0,$D$35),F64))=0,0,F54/(IF(F64="",IF($D$35="",0,$D$35),F64)))))))*(IF(F64="",IF($D$35="",0,$D$35),F64))))</f>
        <v/>
      </c>
      <c r="N89" s="75" t="str">
        <f aca="false">IF(L89="","",L89+M89)</f>
        <v/>
      </c>
      <c r="O89" s="75" t="str">
        <f aca="false">IF(G54="","",IF(1&gt;IF(G57="",10,G57),"",G54*(1+IF(G55="",0,G55))^ROUNDDOWN((1-1)/IF(G56="",5,G56),0)))</f>
        <v/>
      </c>
      <c r="P89" s="75" t="str">
        <f aca="false">IF(O89="","",IF((IF(G64="",IF($D$35="",0,$D$35),G64))=0,0,MAX(0,1319786.19-(IF(G65&lt;&gt;"",G65,IF($D$37&lt;&gt;"",$D$37,IF((IF(G64="",IF($D$35="",0,$D$35),G64))=0,0,G54/(IF(G64="",IF($D$35="",0,$D$35),G64)))))))*(IF(G64="",IF($D$35="",0,$D$35),G64))))</f>
        <v/>
      </c>
      <c r="Q89" s="75" t="str">
        <f aca="false">IF(O89="","",O89+P89)</f>
        <v/>
      </c>
      <c r="R89" s="75" t="str">
        <f aca="false">IF(H54="","",IF(1&gt;IF(H57="",10,H57),"",H54*(1+IF(H55="",0,H55))^ROUNDDOWN((1-1)/IF(H56="",5,H56),0)))</f>
        <v/>
      </c>
      <c r="S89" s="75" t="str">
        <f aca="false">IF(R89="","",IF((IF(H64="",IF($D$35="",0,$D$35),H64))=0,0,MAX(0,1319786.19-(IF(H65&lt;&gt;"",H65,IF($D$37&lt;&gt;"",$D$37,IF((IF(H64="",IF($D$35="",0,$D$35),H64))=0,0,H54/(IF(H64="",IF($D$35="",0,$D$35),H64)))))))*(IF(H64="",IF($D$35="",0,$D$35),H64))))</f>
        <v/>
      </c>
      <c r="T89" s="75" t="str">
        <f aca="false">IF(R89="","",R89+S89)</f>
        <v/>
      </c>
    </row>
    <row r="90" customFormat="false" ht="15" hidden="false" customHeight="false" outlineLevel="0" collapsed="false">
      <c r="A90" s="74" t="n">
        <v>2</v>
      </c>
      <c r="B90" s="75" t="n">
        <v>1346182</v>
      </c>
      <c r="C90" s="76" t="n">
        <v>121217</v>
      </c>
      <c r="D90" s="76" t="n">
        <v>0</v>
      </c>
      <c r="E90" s="76" t="n">
        <v>121217</v>
      </c>
      <c r="F90" s="75" t="n">
        <f aca="false">IF(D54="","",IF(2&gt;IF(D57="",10,D57),"",D54*(1+IF(D55="",0,D55))^ROUNDDOWN((2-1)/IF(D56="",5,D56),0)))</f>
        <v>121217</v>
      </c>
      <c r="G90" s="75" t="n">
        <f aca="false">IF(F90="","",IF((IF(D64="",IF($D$35="",0,$D$35),D64))=0,0,MAX(0,1346181.91-(IF(D65&lt;&gt;"",D65,IF($D$37&lt;&gt;"",$D$37,IF((IF(D64="",IF($D$35="",0,$D$35),D64))=0,0,D54/(IF(D64="",IF($D$35="",0,$D$35),D64)))))))*(IF(D64="",IF($D$35="",0,$D$35),D64))))</f>
        <v>0</v>
      </c>
      <c r="H90" s="75" t="n">
        <f aca="false">IF(F90="","",F90+G90)</f>
        <v>121217</v>
      </c>
      <c r="I90" s="75" t="str">
        <f aca="false">IF(E54="","",IF(2&gt;IF(E57="",10,E57),"",E54*(1+IF(E55="",0,E55))^ROUNDDOWN((2-1)/IF(E56="",5,E56),0)))</f>
        <v/>
      </c>
      <c r="J90" s="75" t="str">
        <f aca="false">IF(I90="","",IF((IF(E64="",IF($D$35="",0,$D$35),E64))=0,0,MAX(0,1346181.91-(IF(E65&lt;&gt;"",E65,IF($D$37&lt;&gt;"",$D$37,IF((IF(E64="",IF($D$35="",0,$D$35),E64))=0,0,E54/(IF(E64="",IF($D$35="",0,$D$35),E64)))))))*(IF(E64="",IF($D$35="",0,$D$35),E64))))</f>
        <v/>
      </c>
      <c r="K90" s="75" t="str">
        <f aca="false">IF(I90="","",I90+J90)</f>
        <v/>
      </c>
      <c r="L90" s="75" t="str">
        <f aca="false">IF(F54="","",IF(2&gt;IF(F57="",10,F57),"",F54*(1+IF(F55="",0,F55))^ROUNDDOWN((2-1)/IF(F56="",5,F56),0)))</f>
        <v/>
      </c>
      <c r="M90" s="75" t="str">
        <f aca="false">IF(L90="","",IF((IF(F64="",IF($D$35="",0,$D$35),F64))=0,0,MAX(0,1346181.91-(IF(F65&lt;&gt;"",F65,IF($D$37&lt;&gt;"",$D$37,IF((IF(F64="",IF($D$35="",0,$D$35),F64))=0,0,F54/(IF(F64="",IF($D$35="",0,$D$35),F64)))))))*(IF(F64="",IF($D$35="",0,$D$35),F64))))</f>
        <v/>
      </c>
      <c r="N90" s="75" t="str">
        <f aca="false">IF(L90="","",L90+M90)</f>
        <v/>
      </c>
      <c r="O90" s="75" t="str">
        <f aca="false">IF(G54="","",IF(2&gt;IF(G57="",10,G57),"",G54*(1+IF(G55="",0,G55))^ROUNDDOWN((2-1)/IF(G56="",5,G56),0)))</f>
        <v/>
      </c>
      <c r="P90" s="75" t="str">
        <f aca="false">IF(O90="","",IF((IF(G64="",IF($D$35="",0,$D$35),G64))=0,0,MAX(0,1346181.91-(IF(G65&lt;&gt;"",G65,IF($D$37&lt;&gt;"",$D$37,IF((IF(G64="",IF($D$35="",0,$D$35),G64))=0,0,G54/(IF(G64="",IF($D$35="",0,$D$35),G64)))))))*(IF(G64="",IF($D$35="",0,$D$35),G64))))</f>
        <v/>
      </c>
      <c r="Q90" s="75" t="str">
        <f aca="false">IF(O90="","",O90+P90)</f>
        <v/>
      </c>
      <c r="R90" s="75" t="str">
        <f aca="false">IF(H54="","",IF(2&gt;IF(H57="",10,H57),"",H54*(1+IF(H55="",0,H55))^ROUNDDOWN((2-1)/IF(H56="",5,H56),0)))</f>
        <v/>
      </c>
      <c r="S90" s="75" t="str">
        <f aca="false">IF(R90="","",IF((IF(H64="",IF($D$35="",0,$D$35),H64))=0,0,MAX(0,1346181.91-(IF(H65&lt;&gt;"",H65,IF($D$37&lt;&gt;"",$D$37,IF((IF(H64="",IF($D$35="",0,$D$35),H64))=0,0,H54/(IF(H64="",IF($D$35="",0,$D$35),H64)))))))*(IF(H64="",IF($D$35="",0,$D$35),H64))))</f>
        <v/>
      </c>
      <c r="T90" s="75" t="str">
        <f aca="false">IF(R90="","",R90+S90)</f>
        <v/>
      </c>
    </row>
    <row r="91" customFormat="false" ht="15" hidden="false" customHeight="false" outlineLevel="0" collapsed="false">
      <c r="A91" s="74" t="n">
        <v>3</v>
      </c>
      <c r="B91" s="75" t="n">
        <v>1373106</v>
      </c>
      <c r="C91" s="76" t="n">
        <v>121217</v>
      </c>
      <c r="D91" s="76" t="n">
        <v>0</v>
      </c>
      <c r="E91" s="76" t="n">
        <v>121217</v>
      </c>
      <c r="F91" s="75" t="n">
        <f aca="false">IF(D54="","",IF(3&gt;IF(D57="",10,D57),"",D54*(1+IF(D55="",0,D55))^ROUNDDOWN((3-1)/IF(D56="",5,D56),0)))</f>
        <v>121217</v>
      </c>
      <c r="G91" s="75" t="n">
        <f aca="false">IF(F91="","",IF((IF(D64="",IF($D$35="",0,$D$35),D64))=0,0,MAX(0,1373105.55-(IF(D65&lt;&gt;"",D65,IF($D$37&lt;&gt;"",$D$37,IF((IF(D64="",IF($D$35="",0,$D$35),D64))=0,0,D54/(IF(D64="",IF($D$35="",0,$D$35),D64)))))))*(IF(D64="",IF($D$35="",0,$D$35),D64))))</f>
        <v>0</v>
      </c>
      <c r="H91" s="75" t="n">
        <f aca="false">IF(F91="","",F91+G91)</f>
        <v>121217</v>
      </c>
      <c r="I91" s="75" t="str">
        <f aca="false">IF(E54="","",IF(3&gt;IF(E57="",10,E57),"",E54*(1+IF(E55="",0,E55))^ROUNDDOWN((3-1)/IF(E56="",5,E56),0)))</f>
        <v/>
      </c>
      <c r="J91" s="75" t="str">
        <f aca="false">IF(I91="","",IF((IF(E64="",IF($D$35="",0,$D$35),E64))=0,0,MAX(0,1373105.55-(IF(E65&lt;&gt;"",E65,IF($D$37&lt;&gt;"",$D$37,IF((IF(E64="",IF($D$35="",0,$D$35),E64))=0,0,E54/(IF(E64="",IF($D$35="",0,$D$35),E64)))))))*(IF(E64="",IF($D$35="",0,$D$35),E64))))</f>
        <v/>
      </c>
      <c r="K91" s="75" t="str">
        <f aca="false">IF(I91="","",I91+J91)</f>
        <v/>
      </c>
      <c r="L91" s="75" t="str">
        <f aca="false">IF(F54="","",IF(3&gt;IF(F57="",10,F57),"",F54*(1+IF(F55="",0,F55))^ROUNDDOWN((3-1)/IF(F56="",5,F56),0)))</f>
        <v/>
      </c>
      <c r="M91" s="75" t="str">
        <f aca="false">IF(L91="","",IF((IF(F64="",IF($D$35="",0,$D$35),F64))=0,0,MAX(0,1373105.55-(IF(F65&lt;&gt;"",F65,IF($D$37&lt;&gt;"",$D$37,IF((IF(F64="",IF($D$35="",0,$D$35),F64))=0,0,F54/(IF(F64="",IF($D$35="",0,$D$35),F64)))))))*(IF(F64="",IF($D$35="",0,$D$35),F64))))</f>
        <v/>
      </c>
      <c r="N91" s="75" t="str">
        <f aca="false">IF(L91="","",L91+M91)</f>
        <v/>
      </c>
      <c r="O91" s="75" t="str">
        <f aca="false">IF(G54="","",IF(3&gt;IF(G57="",10,G57),"",G54*(1+IF(G55="",0,G55))^ROUNDDOWN((3-1)/IF(G56="",5,G56),0)))</f>
        <v/>
      </c>
      <c r="P91" s="75" t="str">
        <f aca="false">IF(O91="","",IF((IF(G64="",IF($D$35="",0,$D$35),G64))=0,0,MAX(0,1373105.55-(IF(G65&lt;&gt;"",G65,IF($D$37&lt;&gt;"",$D$37,IF((IF(G64="",IF($D$35="",0,$D$35),G64))=0,0,G54/(IF(G64="",IF($D$35="",0,$D$35),G64)))))))*(IF(G64="",IF($D$35="",0,$D$35),G64))))</f>
        <v/>
      </c>
      <c r="Q91" s="75" t="str">
        <f aca="false">IF(O91="","",O91+P91)</f>
        <v/>
      </c>
      <c r="R91" s="75" t="str">
        <f aca="false">IF(H54="","",IF(3&gt;IF(H57="",10,H57),"",H54*(1+IF(H55="",0,H55))^ROUNDDOWN((3-1)/IF(H56="",5,H56),0)))</f>
        <v/>
      </c>
      <c r="S91" s="75" t="str">
        <f aca="false">IF(R91="","",IF((IF(H64="",IF($D$35="",0,$D$35),H64))=0,0,MAX(0,1373105.55-(IF(H65&lt;&gt;"",H65,IF($D$37&lt;&gt;"",$D$37,IF((IF(H64="",IF($D$35="",0,$D$35),H64))=0,0,H54/(IF(H64="",IF($D$35="",0,$D$35),H64)))))))*(IF(H64="",IF($D$35="",0,$D$35),H64))))</f>
        <v/>
      </c>
      <c r="T91" s="75" t="str">
        <f aca="false">IF(R91="","",R91+S91)</f>
        <v/>
      </c>
    </row>
    <row r="92" customFormat="false" ht="15" hidden="false" customHeight="false" outlineLevel="0" collapsed="false">
      <c r="A92" s="74" t="n">
        <v>4</v>
      </c>
      <c r="B92" s="75" t="n">
        <v>1400568</v>
      </c>
      <c r="C92" s="76" t="n">
        <v>121217</v>
      </c>
      <c r="D92" s="76" t="n">
        <v>0</v>
      </c>
      <c r="E92" s="76" t="n">
        <v>121217</v>
      </c>
      <c r="F92" s="75" t="n">
        <f aca="false">IF(D54="","",IF(4&gt;IF(D57="",10,D57),"",D54*(1+IF(D55="",0,D55))^ROUNDDOWN((4-1)/IF(D56="",5,D56),0)))</f>
        <v>121217</v>
      </c>
      <c r="G92" s="75" t="n">
        <f aca="false">IF(F92="","",IF((IF(D64="",IF($D$35="",0,$D$35),D64))=0,0,MAX(0,1400567.66-(IF(D65&lt;&gt;"",D65,IF($D$37&lt;&gt;"",$D$37,IF((IF(D64="",IF($D$35="",0,$D$35),D64))=0,0,D54/(IF(D64="",IF($D$35="",0,$D$35),D64)))))))*(IF(D64="",IF($D$35="",0,$D$35),D64))))</f>
        <v>0</v>
      </c>
      <c r="H92" s="75" t="n">
        <f aca="false">IF(F92="","",F92+G92)</f>
        <v>121217</v>
      </c>
      <c r="I92" s="75" t="str">
        <f aca="false">IF(E54="","",IF(4&gt;IF(E57="",10,E57),"",E54*(1+IF(E55="",0,E55))^ROUNDDOWN((4-1)/IF(E56="",5,E56),0)))</f>
        <v/>
      </c>
      <c r="J92" s="75" t="str">
        <f aca="false">IF(I92="","",IF((IF(E64="",IF($D$35="",0,$D$35),E64))=0,0,MAX(0,1400567.66-(IF(E65&lt;&gt;"",E65,IF($D$37&lt;&gt;"",$D$37,IF((IF(E64="",IF($D$35="",0,$D$35),E64))=0,0,E54/(IF(E64="",IF($D$35="",0,$D$35),E64)))))))*(IF(E64="",IF($D$35="",0,$D$35),E64))))</f>
        <v/>
      </c>
      <c r="K92" s="75" t="str">
        <f aca="false">IF(I92="","",I92+J92)</f>
        <v/>
      </c>
      <c r="L92" s="75" t="str">
        <f aca="false">IF(F54="","",IF(4&gt;IF(F57="",10,F57),"",F54*(1+IF(F55="",0,F55))^ROUNDDOWN((4-1)/IF(F56="",5,F56),0)))</f>
        <v/>
      </c>
      <c r="M92" s="75" t="str">
        <f aca="false">IF(L92="","",IF((IF(F64="",IF($D$35="",0,$D$35),F64))=0,0,MAX(0,1400567.66-(IF(F65&lt;&gt;"",F65,IF($D$37&lt;&gt;"",$D$37,IF((IF(F64="",IF($D$35="",0,$D$35),F64))=0,0,F54/(IF(F64="",IF($D$35="",0,$D$35),F64)))))))*(IF(F64="",IF($D$35="",0,$D$35),F64))))</f>
        <v/>
      </c>
      <c r="N92" s="75" t="str">
        <f aca="false">IF(L92="","",L92+M92)</f>
        <v/>
      </c>
      <c r="O92" s="75" t="str">
        <f aca="false">IF(G54="","",IF(4&gt;IF(G57="",10,G57),"",G54*(1+IF(G55="",0,G55))^ROUNDDOWN((4-1)/IF(G56="",5,G56),0)))</f>
        <v/>
      </c>
      <c r="P92" s="75" t="str">
        <f aca="false">IF(O92="","",IF((IF(G64="",IF($D$35="",0,$D$35),G64))=0,0,MAX(0,1400567.66-(IF(G65&lt;&gt;"",G65,IF($D$37&lt;&gt;"",$D$37,IF((IF(G64="",IF($D$35="",0,$D$35),G64))=0,0,G54/(IF(G64="",IF($D$35="",0,$D$35),G64)))))))*(IF(G64="",IF($D$35="",0,$D$35),G64))))</f>
        <v/>
      </c>
      <c r="Q92" s="75" t="str">
        <f aca="false">IF(O92="","",O92+P92)</f>
        <v/>
      </c>
      <c r="R92" s="75" t="str">
        <f aca="false">IF(H54="","",IF(4&gt;IF(H57="",10,H57),"",H54*(1+IF(H55="",0,H55))^ROUNDDOWN((4-1)/IF(H56="",5,H56),0)))</f>
        <v/>
      </c>
      <c r="S92" s="75" t="str">
        <f aca="false">IF(R92="","",IF((IF(H64="",IF($D$35="",0,$D$35),H64))=0,0,MAX(0,1400567.66-(IF(H65&lt;&gt;"",H65,IF($D$37&lt;&gt;"",$D$37,IF((IF(H64="",IF($D$35="",0,$D$35),H64))=0,0,H54/(IF(H64="",IF($D$35="",0,$D$35),H64)))))))*(IF(H64="",IF($D$35="",0,$D$35),H64))))</f>
        <v/>
      </c>
      <c r="T92" s="75" t="str">
        <f aca="false">IF(R92="","",R92+S92)</f>
        <v/>
      </c>
    </row>
    <row r="93" customFormat="false" ht="15" hidden="false" customHeight="false" outlineLevel="0" collapsed="false">
      <c r="A93" s="74" t="n">
        <v>5</v>
      </c>
      <c r="B93" s="75" t="n">
        <v>1428579</v>
      </c>
      <c r="C93" s="76" t="n">
        <v>121217</v>
      </c>
      <c r="D93" s="76" t="n">
        <v>0</v>
      </c>
      <c r="E93" s="76" t="n">
        <v>121217</v>
      </c>
      <c r="F93" s="75" t="n">
        <f aca="false">IF(D54="","",IF(5&gt;IF(D57="",10,D57),"",D54*(1+IF(D55="",0,D55))^ROUNDDOWN((5-1)/IF(D56="",5,D56),0)))</f>
        <v>121217</v>
      </c>
      <c r="G93" s="75" t="n">
        <f aca="false">IF(F93="","",IF((IF(D64="",IF($D$35="",0,$D$35),D64))=0,0,MAX(0,1428579.02-(IF(D65&lt;&gt;"",D65,IF($D$37&lt;&gt;"",$D$37,IF((IF(D64="",IF($D$35="",0,$D$35),D64))=0,0,D54/(IF(D64="",IF($D$35="",0,$D$35),D64)))))))*(IF(D64="",IF($D$35="",0,$D$35),D64))))</f>
        <v>0</v>
      </c>
      <c r="H93" s="75" t="n">
        <f aca="false">IF(F93="","",F93+G93)</f>
        <v>121217</v>
      </c>
      <c r="I93" s="75" t="str">
        <f aca="false">IF(E54="","",IF(5&gt;IF(E57="",10,E57),"",E54*(1+IF(E55="",0,E55))^ROUNDDOWN((5-1)/IF(E56="",5,E56),0)))</f>
        <v/>
      </c>
      <c r="J93" s="75" t="str">
        <f aca="false">IF(I93="","",IF((IF(E64="",IF($D$35="",0,$D$35),E64))=0,0,MAX(0,1428579.02-(IF(E65&lt;&gt;"",E65,IF($D$37&lt;&gt;"",$D$37,IF((IF(E64="",IF($D$35="",0,$D$35),E64))=0,0,E54/(IF(E64="",IF($D$35="",0,$D$35),E64)))))))*(IF(E64="",IF($D$35="",0,$D$35),E64))))</f>
        <v/>
      </c>
      <c r="K93" s="75" t="str">
        <f aca="false">IF(I93="","",I93+J93)</f>
        <v/>
      </c>
      <c r="L93" s="75" t="str">
        <f aca="false">IF(F54="","",IF(5&gt;IF(F57="",10,F57),"",F54*(1+IF(F55="",0,F55))^ROUNDDOWN((5-1)/IF(F56="",5,F56),0)))</f>
        <v/>
      </c>
      <c r="M93" s="75" t="str">
        <f aca="false">IF(L93="","",IF((IF(F64="",IF($D$35="",0,$D$35),F64))=0,0,MAX(0,1428579.02-(IF(F65&lt;&gt;"",F65,IF($D$37&lt;&gt;"",$D$37,IF((IF(F64="",IF($D$35="",0,$D$35),F64))=0,0,F54/(IF(F64="",IF($D$35="",0,$D$35),F64)))))))*(IF(F64="",IF($D$35="",0,$D$35),F64))))</f>
        <v/>
      </c>
      <c r="N93" s="75" t="str">
        <f aca="false">IF(L93="","",L93+M93)</f>
        <v/>
      </c>
      <c r="O93" s="75" t="str">
        <f aca="false">IF(G54="","",IF(5&gt;IF(G57="",10,G57),"",G54*(1+IF(G55="",0,G55))^ROUNDDOWN((5-1)/IF(G56="",5,G56),0)))</f>
        <v/>
      </c>
      <c r="P93" s="75" t="str">
        <f aca="false">IF(O93="","",IF((IF(G64="",IF($D$35="",0,$D$35),G64))=0,0,MAX(0,1428579.02-(IF(G65&lt;&gt;"",G65,IF($D$37&lt;&gt;"",$D$37,IF((IF(G64="",IF($D$35="",0,$D$35),G64))=0,0,G54/(IF(G64="",IF($D$35="",0,$D$35),G64)))))))*(IF(G64="",IF($D$35="",0,$D$35),G64))))</f>
        <v/>
      </c>
      <c r="Q93" s="75" t="str">
        <f aca="false">IF(O93="","",O93+P93)</f>
        <v/>
      </c>
      <c r="R93" s="75" t="str">
        <f aca="false">IF(H54="","",IF(5&gt;IF(H57="",10,H57),"",H54*(1+IF(H55="",0,H55))^ROUNDDOWN((5-1)/IF(H56="",5,H56),0)))</f>
        <v/>
      </c>
      <c r="S93" s="75" t="str">
        <f aca="false">IF(R93="","",IF((IF(H64="",IF($D$35="",0,$D$35),H64))=0,0,MAX(0,1428579.02-(IF(H65&lt;&gt;"",H65,IF($D$37&lt;&gt;"",$D$37,IF((IF(H64="",IF($D$35="",0,$D$35),H64))=0,0,H54/(IF(H64="",IF($D$35="",0,$D$35),H64)))))))*(IF(H64="",IF($D$35="",0,$D$35),H64))))</f>
        <v/>
      </c>
      <c r="T93" s="75" t="str">
        <f aca="false">IF(R93="","",R93+S93)</f>
        <v/>
      </c>
    </row>
    <row r="94" customFormat="false" ht="15" hidden="false" customHeight="false" outlineLevel="0" collapsed="false">
      <c r="A94" s="74" t="n">
        <v>6</v>
      </c>
      <c r="B94" s="75" t="n">
        <v>1457151</v>
      </c>
      <c r="C94" s="76" t="n">
        <v>121217</v>
      </c>
      <c r="D94" s="76" t="n">
        <v>0</v>
      </c>
      <c r="E94" s="76" t="n">
        <v>121217</v>
      </c>
      <c r="F94" s="75" t="n">
        <f aca="false">IF(D54="","",IF(6&gt;IF(D57="",10,D57),"",D54*(1+IF(D55="",0,D55))^ROUNDDOWN((6-1)/IF(D56="",5,D56),0)))</f>
        <v>123641.34</v>
      </c>
      <c r="G94" s="75" t="n">
        <f aca="false">IF(F94="","",IF((IF(D64="",IF($D$35="",0,$D$35),D64))=0,0,MAX(0,1457150.6-(IF(D65&lt;&gt;"",D65,IF($D$37&lt;&gt;"",$D$37,IF((IF(D64="",IF($D$35="",0,$D$35),D64))=0,0,D54/(IF(D64="",IF($D$35="",0,$D$35),D64)))))))*(IF(D64="",IF($D$35="",0,$D$35),D64))))</f>
        <v>0</v>
      </c>
      <c r="H94" s="75" t="n">
        <f aca="false">IF(F94="","",F94+G94)</f>
        <v>123641.34</v>
      </c>
      <c r="I94" s="75" t="str">
        <f aca="false">IF(E54="","",IF(6&gt;IF(E57="",10,E57),"",E54*(1+IF(E55="",0,E55))^ROUNDDOWN((6-1)/IF(E56="",5,E56),0)))</f>
        <v/>
      </c>
      <c r="J94" s="75" t="str">
        <f aca="false">IF(I94="","",IF((IF(E64="",IF($D$35="",0,$D$35),E64))=0,0,MAX(0,1457150.6-(IF(E65&lt;&gt;"",E65,IF($D$37&lt;&gt;"",$D$37,IF((IF(E64="",IF($D$35="",0,$D$35),E64))=0,0,E54/(IF(E64="",IF($D$35="",0,$D$35),E64)))))))*(IF(E64="",IF($D$35="",0,$D$35),E64))))</f>
        <v/>
      </c>
      <c r="K94" s="75" t="str">
        <f aca="false">IF(I94="","",I94+J94)</f>
        <v/>
      </c>
      <c r="L94" s="75" t="str">
        <f aca="false">IF(F54="","",IF(6&gt;IF(F57="",10,F57),"",F54*(1+IF(F55="",0,F55))^ROUNDDOWN((6-1)/IF(F56="",5,F56),0)))</f>
        <v/>
      </c>
      <c r="M94" s="75" t="str">
        <f aca="false">IF(L94="","",IF((IF(F64="",IF($D$35="",0,$D$35),F64))=0,0,MAX(0,1457150.6-(IF(F65&lt;&gt;"",F65,IF($D$37&lt;&gt;"",$D$37,IF((IF(F64="",IF($D$35="",0,$D$35),F64))=0,0,F54/(IF(F64="",IF($D$35="",0,$D$35),F64)))))))*(IF(F64="",IF($D$35="",0,$D$35),F64))))</f>
        <v/>
      </c>
      <c r="N94" s="75" t="str">
        <f aca="false">IF(L94="","",L94+M94)</f>
        <v/>
      </c>
      <c r="O94" s="75" t="str">
        <f aca="false">IF(G54="","",IF(6&gt;IF(G57="",10,G57),"",G54*(1+IF(G55="",0,G55))^ROUNDDOWN((6-1)/IF(G56="",5,G56),0)))</f>
        <v/>
      </c>
      <c r="P94" s="75" t="str">
        <f aca="false">IF(O94="","",IF((IF(G64="",IF($D$35="",0,$D$35),G64))=0,0,MAX(0,1457150.6-(IF(G65&lt;&gt;"",G65,IF($D$37&lt;&gt;"",$D$37,IF((IF(G64="",IF($D$35="",0,$D$35),G64))=0,0,G54/(IF(G64="",IF($D$35="",0,$D$35),G64)))))))*(IF(G64="",IF($D$35="",0,$D$35),G64))))</f>
        <v/>
      </c>
      <c r="Q94" s="75" t="str">
        <f aca="false">IF(O94="","",O94+P94)</f>
        <v/>
      </c>
      <c r="R94" s="75" t="str">
        <f aca="false">IF(H54="","",IF(6&gt;IF(H57="",10,H57),"",H54*(1+IF(H55="",0,H55))^ROUNDDOWN((6-1)/IF(H56="",5,H56),0)))</f>
        <v/>
      </c>
      <c r="S94" s="75" t="str">
        <f aca="false">IF(R94="","",IF((IF(H64="",IF($D$35="",0,$D$35),H64))=0,0,MAX(0,1457150.6-(IF(H65&lt;&gt;"",H65,IF($D$37&lt;&gt;"",$D$37,IF((IF(H64="",IF($D$35="",0,$D$35),H64))=0,0,H54/(IF(H64="",IF($D$35="",0,$D$35),H64)))))))*(IF(H64="",IF($D$35="",0,$D$35),H64))))</f>
        <v/>
      </c>
      <c r="T94" s="75" t="str">
        <f aca="false">IF(R94="","",R94+S94)</f>
        <v/>
      </c>
    </row>
    <row r="95" customFormat="false" ht="15" hidden="false" customHeight="false" outlineLevel="0" collapsed="false">
      <c r="A95" s="74" t="n">
        <v>7</v>
      </c>
      <c r="B95" s="75" t="n">
        <v>1486294</v>
      </c>
      <c r="C95" s="76" t="n">
        <v>121217</v>
      </c>
      <c r="D95" s="76" t="n">
        <v>0</v>
      </c>
      <c r="E95" s="76" t="n">
        <v>121217</v>
      </c>
      <c r="F95" s="75" t="n">
        <f aca="false">IF(D54="","",IF(7&gt;IF(D57="",10,D57),"",D54*(1+IF(D55="",0,D55))^ROUNDDOWN((7-1)/IF(D56="",5,D56),0)))</f>
        <v>123641.34</v>
      </c>
      <c r="G95" s="75" t="n">
        <f aca="false">IF(F95="","",IF((IF(D64="",IF($D$35="",0,$D$35),D64))=0,0,MAX(0,1486293.61-(IF(D65&lt;&gt;"",D65,IF($D$37&lt;&gt;"",$D$37,IF((IF(D64="",IF($D$35="",0,$D$35),D64))=0,0,D54/(IF(D64="",IF($D$35="",0,$D$35),D64)))))))*(IF(D64="",IF($D$35="",0,$D$35),D64))))</f>
        <v>0</v>
      </c>
      <c r="H95" s="75" t="n">
        <f aca="false">IF(F95="","",F95+G95)</f>
        <v>123641.34</v>
      </c>
      <c r="I95" s="75" t="str">
        <f aca="false">IF(E54="","",IF(7&gt;IF(E57="",10,E57),"",E54*(1+IF(E55="",0,E55))^ROUNDDOWN((7-1)/IF(E56="",5,E56),0)))</f>
        <v/>
      </c>
      <c r="J95" s="75" t="str">
        <f aca="false">IF(I95="","",IF((IF(E64="",IF($D$35="",0,$D$35),E64))=0,0,MAX(0,1486293.61-(IF(E65&lt;&gt;"",E65,IF($D$37&lt;&gt;"",$D$37,IF((IF(E64="",IF($D$35="",0,$D$35),E64))=0,0,E54/(IF(E64="",IF($D$35="",0,$D$35),E64)))))))*(IF(E64="",IF($D$35="",0,$D$35),E64))))</f>
        <v/>
      </c>
      <c r="K95" s="75" t="str">
        <f aca="false">IF(I95="","",I95+J95)</f>
        <v/>
      </c>
      <c r="L95" s="75" t="str">
        <f aca="false">IF(F54="","",IF(7&gt;IF(F57="",10,F57),"",F54*(1+IF(F55="",0,F55))^ROUNDDOWN((7-1)/IF(F56="",5,F56),0)))</f>
        <v/>
      </c>
      <c r="M95" s="75" t="str">
        <f aca="false">IF(L95="","",IF((IF(F64="",IF($D$35="",0,$D$35),F64))=0,0,MAX(0,1486293.61-(IF(F65&lt;&gt;"",F65,IF($D$37&lt;&gt;"",$D$37,IF((IF(F64="",IF($D$35="",0,$D$35),F64))=0,0,F54/(IF(F64="",IF($D$35="",0,$D$35),F64)))))))*(IF(F64="",IF($D$35="",0,$D$35),F64))))</f>
        <v/>
      </c>
      <c r="N95" s="75" t="str">
        <f aca="false">IF(L95="","",L95+M95)</f>
        <v/>
      </c>
      <c r="O95" s="75" t="str">
        <f aca="false">IF(G54="","",IF(7&gt;IF(G57="",10,G57),"",G54*(1+IF(G55="",0,G55))^ROUNDDOWN((7-1)/IF(G56="",5,G56),0)))</f>
        <v/>
      </c>
      <c r="P95" s="75" t="str">
        <f aca="false">IF(O95="","",IF((IF(G64="",IF($D$35="",0,$D$35),G64))=0,0,MAX(0,1486293.61-(IF(G65&lt;&gt;"",G65,IF($D$37&lt;&gt;"",$D$37,IF((IF(G64="",IF($D$35="",0,$D$35),G64))=0,0,G54/(IF(G64="",IF($D$35="",0,$D$35),G64)))))))*(IF(G64="",IF($D$35="",0,$D$35),G64))))</f>
        <v/>
      </c>
      <c r="Q95" s="75" t="str">
        <f aca="false">IF(O95="","",O95+P95)</f>
        <v/>
      </c>
      <c r="R95" s="75" t="str">
        <f aca="false">IF(H54="","",IF(7&gt;IF(H57="",10,H57),"",H54*(1+IF(H55="",0,H55))^ROUNDDOWN((7-1)/IF(H56="",5,H56),0)))</f>
        <v/>
      </c>
      <c r="S95" s="75" t="str">
        <f aca="false">IF(R95="","",IF((IF(H64="",IF($D$35="",0,$D$35),H64))=0,0,MAX(0,1486293.61-(IF(H65&lt;&gt;"",H65,IF($D$37&lt;&gt;"",$D$37,IF((IF(H64="",IF($D$35="",0,$D$35),H64))=0,0,H54/(IF(H64="",IF($D$35="",0,$D$35),H64)))))))*(IF(H64="",IF($D$35="",0,$D$35),H64))))</f>
        <v/>
      </c>
      <c r="T95" s="75" t="str">
        <f aca="false">IF(R95="","",R95+S95)</f>
        <v/>
      </c>
    </row>
    <row r="96" customFormat="false" ht="15" hidden="false" customHeight="false" outlineLevel="0" collapsed="false">
      <c r="A96" s="74" t="n">
        <v>8</v>
      </c>
      <c r="B96" s="75" t="n">
        <v>1516019</v>
      </c>
      <c r="C96" s="76" t="n">
        <v>121217</v>
      </c>
      <c r="D96" s="76" t="n">
        <v>0</v>
      </c>
      <c r="E96" s="76" t="n">
        <v>121217</v>
      </c>
      <c r="F96" s="75" t="n">
        <f aca="false">IF(D54="","",IF(8&gt;IF(D57="",10,D57),"",D54*(1+IF(D55="",0,D55))^ROUNDDOWN((8-1)/IF(D56="",5,D56),0)))</f>
        <v>123641.34</v>
      </c>
      <c r="G96" s="75" t="n">
        <f aca="false">IF(F96="","",IF((IF(D64="",IF($D$35="",0,$D$35),D64))=0,0,MAX(0,1516019.48-(IF(D65&lt;&gt;"",D65,IF($D$37&lt;&gt;"",$D$37,IF((IF(D64="",IF($D$35="",0,$D$35),D64))=0,0,D54/(IF(D64="",IF($D$35="",0,$D$35),D64)))))))*(IF(D64="",IF($D$35="",0,$D$35),D64))))</f>
        <v>0</v>
      </c>
      <c r="H96" s="75" t="n">
        <f aca="false">IF(F96="","",F96+G96)</f>
        <v>123641.34</v>
      </c>
      <c r="I96" s="75" t="str">
        <f aca="false">IF(E54="","",IF(8&gt;IF(E57="",10,E57),"",E54*(1+IF(E55="",0,E55))^ROUNDDOWN((8-1)/IF(E56="",5,E56),0)))</f>
        <v/>
      </c>
      <c r="J96" s="75" t="str">
        <f aca="false">IF(I96="","",IF((IF(E64="",IF($D$35="",0,$D$35),E64))=0,0,MAX(0,1516019.48-(IF(E65&lt;&gt;"",E65,IF($D$37&lt;&gt;"",$D$37,IF((IF(E64="",IF($D$35="",0,$D$35),E64))=0,0,E54/(IF(E64="",IF($D$35="",0,$D$35),E64)))))))*(IF(E64="",IF($D$35="",0,$D$35),E64))))</f>
        <v/>
      </c>
      <c r="K96" s="75" t="str">
        <f aca="false">IF(I96="","",I96+J96)</f>
        <v/>
      </c>
      <c r="L96" s="75" t="str">
        <f aca="false">IF(F54="","",IF(8&gt;IF(F57="",10,F57),"",F54*(1+IF(F55="",0,F55))^ROUNDDOWN((8-1)/IF(F56="",5,F56),0)))</f>
        <v/>
      </c>
      <c r="M96" s="75" t="str">
        <f aca="false">IF(L96="","",IF((IF(F64="",IF($D$35="",0,$D$35),F64))=0,0,MAX(0,1516019.48-(IF(F65&lt;&gt;"",F65,IF($D$37&lt;&gt;"",$D$37,IF((IF(F64="",IF($D$35="",0,$D$35),F64))=0,0,F54/(IF(F64="",IF($D$35="",0,$D$35),F64)))))))*(IF(F64="",IF($D$35="",0,$D$35),F64))))</f>
        <v/>
      </c>
      <c r="N96" s="75" t="str">
        <f aca="false">IF(L96="","",L96+M96)</f>
        <v/>
      </c>
      <c r="O96" s="75" t="str">
        <f aca="false">IF(G54="","",IF(8&gt;IF(G57="",10,G57),"",G54*(1+IF(G55="",0,G55))^ROUNDDOWN((8-1)/IF(G56="",5,G56),0)))</f>
        <v/>
      </c>
      <c r="P96" s="75" t="str">
        <f aca="false">IF(O96="","",IF((IF(G64="",IF($D$35="",0,$D$35),G64))=0,0,MAX(0,1516019.48-(IF(G65&lt;&gt;"",G65,IF($D$37&lt;&gt;"",$D$37,IF((IF(G64="",IF($D$35="",0,$D$35),G64))=0,0,G54/(IF(G64="",IF($D$35="",0,$D$35),G64)))))))*(IF(G64="",IF($D$35="",0,$D$35),G64))))</f>
        <v/>
      </c>
      <c r="Q96" s="75" t="str">
        <f aca="false">IF(O96="","",O96+P96)</f>
        <v/>
      </c>
      <c r="R96" s="75" t="str">
        <f aca="false">IF(H54="","",IF(8&gt;IF(H57="",10,H57),"",H54*(1+IF(H55="",0,H55))^ROUNDDOWN((8-1)/IF(H56="",5,H56),0)))</f>
        <v/>
      </c>
      <c r="S96" s="75" t="str">
        <f aca="false">IF(R96="","",IF((IF(H64="",IF($D$35="",0,$D$35),H64))=0,0,MAX(0,1516019.48-(IF(H65&lt;&gt;"",H65,IF($D$37&lt;&gt;"",$D$37,IF((IF(H64="",IF($D$35="",0,$D$35),H64))=0,0,H54/(IF(H64="",IF($D$35="",0,$D$35),H64)))))))*(IF(H64="",IF($D$35="",0,$D$35),H64))))</f>
        <v/>
      </c>
      <c r="T96" s="75" t="str">
        <f aca="false">IF(R96="","",R96+S96)</f>
        <v/>
      </c>
    </row>
    <row r="97" customFormat="false" ht="15" hidden="false" customHeight="false" outlineLevel="0" collapsed="false">
      <c r="A97" s="74" t="n">
        <v>9</v>
      </c>
      <c r="B97" s="75" t="n">
        <v>1546340</v>
      </c>
      <c r="C97" s="76" t="n">
        <v>121217</v>
      </c>
      <c r="D97" s="76" t="n">
        <v>0</v>
      </c>
      <c r="E97" s="76" t="n">
        <v>121217</v>
      </c>
      <c r="F97" s="75" t="n">
        <f aca="false">IF(D54="","",IF(9&gt;IF(D57="",10,D57),"",D54*(1+IF(D55="",0,D55))^ROUNDDOWN((9-1)/IF(D56="",5,D56),0)))</f>
        <v>123641.34</v>
      </c>
      <c r="G97" s="75" t="n">
        <f aca="false">IF(F97="","",IF((IF(D64="",IF($D$35="",0,$D$35),D64))=0,0,MAX(0,1546339.87-(IF(D65&lt;&gt;"",D65,IF($D$37&lt;&gt;"",$D$37,IF((IF(D64="",IF($D$35="",0,$D$35),D64))=0,0,D54/(IF(D64="",IF($D$35="",0,$D$35),D64)))))))*(IF(D64="",IF($D$35="",0,$D$35),D64))))</f>
        <v>0</v>
      </c>
      <c r="H97" s="75" t="n">
        <f aca="false">IF(F97="","",F97+G97)</f>
        <v>123641.34</v>
      </c>
      <c r="I97" s="75" t="str">
        <f aca="false">IF(E54="","",IF(9&gt;IF(E57="",10,E57),"",E54*(1+IF(E55="",0,E55))^ROUNDDOWN((9-1)/IF(E56="",5,E56),0)))</f>
        <v/>
      </c>
      <c r="J97" s="75" t="str">
        <f aca="false">IF(I97="","",IF((IF(E64="",IF($D$35="",0,$D$35),E64))=0,0,MAX(0,1546339.87-(IF(E65&lt;&gt;"",E65,IF($D$37&lt;&gt;"",$D$37,IF((IF(E64="",IF($D$35="",0,$D$35),E64))=0,0,E54/(IF(E64="",IF($D$35="",0,$D$35),E64)))))))*(IF(E64="",IF($D$35="",0,$D$35),E64))))</f>
        <v/>
      </c>
      <c r="K97" s="75" t="str">
        <f aca="false">IF(I97="","",I97+J97)</f>
        <v/>
      </c>
      <c r="L97" s="75" t="str">
        <f aca="false">IF(F54="","",IF(9&gt;IF(F57="",10,F57),"",F54*(1+IF(F55="",0,F55))^ROUNDDOWN((9-1)/IF(F56="",5,F56),0)))</f>
        <v/>
      </c>
      <c r="M97" s="75" t="str">
        <f aca="false">IF(L97="","",IF((IF(F64="",IF($D$35="",0,$D$35),F64))=0,0,MAX(0,1546339.87-(IF(F65&lt;&gt;"",F65,IF($D$37&lt;&gt;"",$D$37,IF((IF(F64="",IF($D$35="",0,$D$35),F64))=0,0,F54/(IF(F64="",IF($D$35="",0,$D$35),F64)))))))*(IF(F64="",IF($D$35="",0,$D$35),F64))))</f>
        <v/>
      </c>
      <c r="N97" s="75" t="str">
        <f aca="false">IF(L97="","",L97+M97)</f>
        <v/>
      </c>
      <c r="O97" s="75" t="str">
        <f aca="false">IF(G54="","",IF(9&gt;IF(G57="",10,G57),"",G54*(1+IF(G55="",0,G55))^ROUNDDOWN((9-1)/IF(G56="",5,G56),0)))</f>
        <v/>
      </c>
      <c r="P97" s="75" t="str">
        <f aca="false">IF(O97="","",IF((IF(G64="",IF($D$35="",0,$D$35),G64))=0,0,MAX(0,1546339.87-(IF(G65&lt;&gt;"",G65,IF($D$37&lt;&gt;"",$D$37,IF((IF(G64="",IF($D$35="",0,$D$35),G64))=0,0,G54/(IF(G64="",IF($D$35="",0,$D$35),G64)))))))*(IF(G64="",IF($D$35="",0,$D$35),G64))))</f>
        <v/>
      </c>
      <c r="Q97" s="75" t="str">
        <f aca="false">IF(O97="","",O97+P97)</f>
        <v/>
      </c>
      <c r="R97" s="75" t="str">
        <f aca="false">IF(H54="","",IF(9&gt;IF(H57="",10,H57),"",H54*(1+IF(H55="",0,H55))^ROUNDDOWN((9-1)/IF(H56="",5,H56),0)))</f>
        <v/>
      </c>
      <c r="S97" s="75" t="str">
        <f aca="false">IF(R97="","",IF((IF(H64="",IF($D$35="",0,$D$35),H64))=0,0,MAX(0,1546339.87-(IF(H65&lt;&gt;"",H65,IF($D$37&lt;&gt;"",$D$37,IF((IF(H64="",IF($D$35="",0,$D$35),H64))=0,0,H54/(IF(H64="",IF($D$35="",0,$D$35),H64)))))))*(IF(H64="",IF($D$35="",0,$D$35),H64))))</f>
        <v/>
      </c>
      <c r="T97" s="75" t="str">
        <f aca="false">IF(R97="","",R97+S97)</f>
        <v/>
      </c>
    </row>
    <row r="98" customFormat="false" ht="15" hidden="false" customHeight="false" outlineLevel="0" collapsed="false">
      <c r="A98" s="74" t="n">
        <v>10</v>
      </c>
      <c r="B98" s="75" t="n">
        <v>1577267</v>
      </c>
      <c r="C98" s="76" t="n">
        <v>121217</v>
      </c>
      <c r="D98" s="76" t="n">
        <v>0</v>
      </c>
      <c r="E98" s="76" t="n">
        <v>121217</v>
      </c>
      <c r="F98" s="75" t="n">
        <f aca="false">IF(D54="","",IF(10&gt;IF(D57="",10,D57),"",D54*(1+IF(D55="",0,D55))^ROUNDDOWN((10-1)/IF(D56="",5,D56),0)))</f>
        <v>123641.34</v>
      </c>
      <c r="G98" s="75" t="n">
        <f aca="false">IF(F98="","",IF((IF(D64="",IF($D$35="",0,$D$35),D64))=0,0,MAX(0,1577266.67-(IF(D65&lt;&gt;"",D65,IF($D$37&lt;&gt;"",$D$37,IF((IF(D64="",IF($D$35="",0,$D$35),D64))=0,0,D54/(IF(D64="",IF($D$35="",0,$D$35),D64)))))))*(IF(D64="",IF($D$35="",0,$D$35),D64))))</f>
        <v>0</v>
      </c>
      <c r="H98" s="75" t="n">
        <f aca="false">IF(F98="","",F98+G98)</f>
        <v>123641.34</v>
      </c>
      <c r="I98" s="75" t="str">
        <f aca="false">IF(E54="","",IF(10&gt;IF(E57="",10,E57),"",E54*(1+IF(E55="",0,E55))^ROUNDDOWN((10-1)/IF(E56="",5,E56),0)))</f>
        <v/>
      </c>
      <c r="J98" s="75" t="str">
        <f aca="false">IF(I98="","",IF((IF(E64="",IF($D$35="",0,$D$35),E64))=0,0,MAX(0,1577266.67-(IF(E65&lt;&gt;"",E65,IF($D$37&lt;&gt;"",$D$37,IF((IF(E64="",IF($D$35="",0,$D$35),E64))=0,0,E54/(IF(E64="",IF($D$35="",0,$D$35),E64)))))))*(IF(E64="",IF($D$35="",0,$D$35),E64))))</f>
        <v/>
      </c>
      <c r="K98" s="75" t="str">
        <f aca="false">IF(I98="","",I98+J98)</f>
        <v/>
      </c>
      <c r="L98" s="75" t="str">
        <f aca="false">IF(F54="","",IF(10&gt;IF(F57="",10,F57),"",F54*(1+IF(F55="",0,F55))^ROUNDDOWN((10-1)/IF(F56="",5,F56),0)))</f>
        <v/>
      </c>
      <c r="M98" s="75" t="str">
        <f aca="false">IF(L98="","",IF((IF(F64="",IF($D$35="",0,$D$35),F64))=0,0,MAX(0,1577266.67-(IF(F65&lt;&gt;"",F65,IF($D$37&lt;&gt;"",$D$37,IF((IF(F64="",IF($D$35="",0,$D$35),F64))=0,0,F54/(IF(F64="",IF($D$35="",0,$D$35),F64)))))))*(IF(F64="",IF($D$35="",0,$D$35),F64))))</f>
        <v/>
      </c>
      <c r="N98" s="75" t="str">
        <f aca="false">IF(L98="","",L98+M98)</f>
        <v/>
      </c>
      <c r="O98" s="75" t="str">
        <f aca="false">IF(G54="","",IF(10&gt;IF(G57="",10,G57),"",G54*(1+IF(G55="",0,G55))^ROUNDDOWN((10-1)/IF(G56="",5,G56),0)))</f>
        <v/>
      </c>
      <c r="P98" s="75" t="str">
        <f aca="false">IF(O98="","",IF((IF(G64="",IF($D$35="",0,$D$35),G64))=0,0,MAX(0,1577266.67-(IF(G65&lt;&gt;"",G65,IF($D$37&lt;&gt;"",$D$37,IF((IF(G64="",IF($D$35="",0,$D$35),G64))=0,0,G54/(IF(G64="",IF($D$35="",0,$D$35),G64)))))))*(IF(G64="",IF($D$35="",0,$D$35),G64))))</f>
        <v/>
      </c>
      <c r="Q98" s="75" t="str">
        <f aca="false">IF(O98="","",O98+P98)</f>
        <v/>
      </c>
      <c r="R98" s="75" t="str">
        <f aca="false">IF(H54="","",IF(10&gt;IF(H57="",10,H57),"",H54*(1+IF(H55="",0,H55))^ROUNDDOWN((10-1)/IF(H56="",5,H56),0)))</f>
        <v/>
      </c>
      <c r="S98" s="75" t="str">
        <f aca="false">IF(R98="","",IF((IF(H64="",IF($D$35="",0,$D$35),H64))=0,0,MAX(0,1577266.67-(IF(H65&lt;&gt;"",H65,IF($D$37&lt;&gt;"",$D$37,IF((IF(H64="",IF($D$35="",0,$D$35),H64))=0,0,H54/(IF(H64="",IF($D$35="",0,$D$35),H64)))))))*(IF(H64="",IF($D$35="",0,$D$35),H64))))</f>
        <v/>
      </c>
      <c r="T98" s="75" t="str">
        <f aca="false">IF(R98="","",R98+S98)</f>
        <v/>
      </c>
    </row>
    <row r="99" customFormat="false" ht="15" hidden="false" customHeight="false" outlineLevel="0" collapsed="false">
      <c r="A99" s="74" t="n">
        <v>11</v>
      </c>
      <c r="B99" s="75" t="n">
        <v>1608812</v>
      </c>
      <c r="C99" s="76" t="n">
        <v>121217</v>
      </c>
      <c r="D99" s="76" t="n">
        <v>0</v>
      </c>
      <c r="E99" s="76" t="n">
        <v>121217</v>
      </c>
      <c r="F99" s="75" t="n">
        <f aca="false">IF(D54="","",IF(11&gt;IF(D57="",10,D57),"",D54*(1+IF(D55="",0,D55))^ROUNDDOWN((11-1)/IF(D56="",5,D56),0)))</f>
        <v>126114.1668</v>
      </c>
      <c r="G99" s="75" t="n">
        <f aca="false">IF(F99="","",IF((IF(D64="",IF($D$35="",0,$D$35),D64))=0,0,MAX(0,1608812-(IF(D65&lt;&gt;"",D65,IF($D$37&lt;&gt;"",$D$37,IF((IF(D64="",IF($D$35="",0,$D$35),D64))=0,0,D54/(IF(D64="",IF($D$35="",0,$D$35),D64)))))))*(IF(D64="",IF($D$35="",0,$D$35),D64))))</f>
        <v>0</v>
      </c>
      <c r="H99" s="75" t="n">
        <f aca="false">IF(F99="","",F99+G99)</f>
        <v>126114.1668</v>
      </c>
      <c r="I99" s="75" t="str">
        <f aca="false">IF(E54="","",IF(11&gt;IF(E57="",10,E57),"",E54*(1+IF(E55="",0,E55))^ROUNDDOWN((11-1)/IF(E56="",5,E56),0)))</f>
        <v/>
      </c>
      <c r="J99" s="75" t="str">
        <f aca="false">IF(I99="","",IF((IF(E64="",IF($D$35="",0,$D$35),E64))=0,0,MAX(0,1608812-(IF(E65&lt;&gt;"",E65,IF($D$37&lt;&gt;"",$D$37,IF((IF(E64="",IF($D$35="",0,$D$35),E64))=0,0,E54/(IF(E64="",IF($D$35="",0,$D$35),E64)))))))*(IF(E64="",IF($D$35="",0,$D$35),E64))))</f>
        <v/>
      </c>
      <c r="K99" s="75" t="str">
        <f aca="false">IF(I99="","",I99+J99)</f>
        <v/>
      </c>
      <c r="L99" s="75" t="str">
        <f aca="false">IF(F54="","",IF(11&gt;IF(F57="",10,F57),"",F54*(1+IF(F55="",0,F55))^ROUNDDOWN((11-1)/IF(F56="",5,F56),0)))</f>
        <v/>
      </c>
      <c r="M99" s="75" t="str">
        <f aca="false">IF(L99="","",IF((IF(F64="",IF($D$35="",0,$D$35),F64))=0,0,MAX(0,1608812-(IF(F65&lt;&gt;"",F65,IF($D$37&lt;&gt;"",$D$37,IF((IF(F64="",IF($D$35="",0,$D$35),F64))=0,0,F54/(IF(F64="",IF($D$35="",0,$D$35),F64)))))))*(IF(F64="",IF($D$35="",0,$D$35),F64))))</f>
        <v/>
      </c>
      <c r="N99" s="75" t="str">
        <f aca="false">IF(L99="","",L99+M99)</f>
        <v/>
      </c>
      <c r="O99" s="75" t="str">
        <f aca="false">IF(G54="","",IF(11&gt;IF(G57="",10,G57),"",G54*(1+IF(G55="",0,G55))^ROUNDDOWN((11-1)/IF(G56="",5,G56),0)))</f>
        <v/>
      </c>
      <c r="P99" s="75" t="str">
        <f aca="false">IF(O99="","",IF((IF(G64="",IF($D$35="",0,$D$35),G64))=0,0,MAX(0,1608812-(IF(G65&lt;&gt;"",G65,IF($D$37&lt;&gt;"",$D$37,IF((IF(G64="",IF($D$35="",0,$D$35),G64))=0,0,G54/(IF(G64="",IF($D$35="",0,$D$35),G64)))))))*(IF(G64="",IF($D$35="",0,$D$35),G64))))</f>
        <v/>
      </c>
      <c r="Q99" s="75" t="str">
        <f aca="false">IF(O99="","",O99+P99)</f>
        <v/>
      </c>
      <c r="R99" s="75" t="str">
        <f aca="false">IF(H54="","",IF(11&gt;IF(H57="",10,H57),"",H54*(1+IF(H55="",0,H55))^ROUNDDOWN((11-1)/IF(H56="",5,H56),0)))</f>
        <v/>
      </c>
      <c r="S99" s="75" t="str">
        <f aca="false">IF(R99="","",IF((IF(H64="",IF($D$35="",0,$D$35),H64))=0,0,MAX(0,1608812-(IF(H65&lt;&gt;"",H65,IF($D$37&lt;&gt;"",$D$37,IF((IF(H64="",IF($D$35="",0,$D$35),H64))=0,0,H54/(IF(H64="",IF($D$35="",0,$D$35),H64)))))))*(IF(H64="",IF($D$35="",0,$D$35),H64))))</f>
        <v/>
      </c>
      <c r="T99" s="75" t="str">
        <f aca="false">IF(R99="","",R99+S99)</f>
        <v/>
      </c>
    </row>
    <row r="100" customFormat="false" ht="15" hidden="false" customHeight="false" outlineLevel="0" collapsed="false">
      <c r="A100" s="74" t="n">
        <v>12</v>
      </c>
      <c r="B100" s="75" t="n">
        <v>1640988</v>
      </c>
      <c r="C100" s="76" t="n">
        <v>121217</v>
      </c>
      <c r="D100" s="76" t="n">
        <v>0</v>
      </c>
      <c r="E100" s="76" t="n">
        <v>121217</v>
      </c>
      <c r="F100" s="75" t="n">
        <f aca="false">IF(D54="","",IF(12&gt;IF(D57="",10,D57),"",D54*(1+IF(D55="",0,D55))^ROUNDDOWN((12-1)/IF(D56="",5,D56),0)))</f>
        <v>126114.1668</v>
      </c>
      <c r="G100" s="75" t="n">
        <f aca="false">IF(F100="","",IF((IF(D64="",IF($D$35="",0,$D$35),D64))=0,0,MAX(0,1640988.24-(IF(D65&lt;&gt;"",D65,IF($D$37&lt;&gt;"",$D$37,IF((IF(D64="",IF($D$35="",0,$D$35),D64))=0,0,D54/(IF(D64="",IF($D$35="",0,$D$35),D64)))))))*(IF(D64="",IF($D$35="",0,$D$35),D64))))</f>
        <v>0</v>
      </c>
      <c r="H100" s="75" t="n">
        <f aca="false">IF(F100="","",F100+G100)</f>
        <v>126114.1668</v>
      </c>
      <c r="I100" s="75" t="str">
        <f aca="false">IF(E54="","",IF(12&gt;IF(E57="",10,E57),"",E54*(1+IF(E55="",0,E55))^ROUNDDOWN((12-1)/IF(E56="",5,E56),0)))</f>
        <v/>
      </c>
      <c r="J100" s="75" t="str">
        <f aca="false">IF(I100="","",IF((IF(E64="",IF($D$35="",0,$D$35),E64))=0,0,MAX(0,1640988.24-(IF(E65&lt;&gt;"",E65,IF($D$37&lt;&gt;"",$D$37,IF((IF(E64="",IF($D$35="",0,$D$35),E64))=0,0,E54/(IF(E64="",IF($D$35="",0,$D$35),E64)))))))*(IF(E64="",IF($D$35="",0,$D$35),E64))))</f>
        <v/>
      </c>
      <c r="K100" s="75" t="str">
        <f aca="false">IF(I100="","",I100+J100)</f>
        <v/>
      </c>
      <c r="L100" s="75" t="str">
        <f aca="false">IF(F54="","",IF(12&gt;IF(F57="",10,F57),"",F54*(1+IF(F55="",0,F55))^ROUNDDOWN((12-1)/IF(F56="",5,F56),0)))</f>
        <v/>
      </c>
      <c r="M100" s="75" t="str">
        <f aca="false">IF(L100="","",IF((IF(F64="",IF($D$35="",0,$D$35),F64))=0,0,MAX(0,1640988.24-(IF(F65&lt;&gt;"",F65,IF($D$37&lt;&gt;"",$D$37,IF((IF(F64="",IF($D$35="",0,$D$35),F64))=0,0,F54/(IF(F64="",IF($D$35="",0,$D$35),F64)))))))*(IF(F64="",IF($D$35="",0,$D$35),F64))))</f>
        <v/>
      </c>
      <c r="N100" s="75" t="str">
        <f aca="false">IF(L100="","",L100+M100)</f>
        <v/>
      </c>
      <c r="O100" s="75" t="str">
        <f aca="false">IF(G54="","",IF(12&gt;IF(G57="",10,G57),"",G54*(1+IF(G55="",0,G55))^ROUNDDOWN((12-1)/IF(G56="",5,G56),0)))</f>
        <v/>
      </c>
      <c r="P100" s="75" t="str">
        <f aca="false">IF(O100="","",IF((IF(G64="",IF($D$35="",0,$D$35),G64))=0,0,MAX(0,1640988.24-(IF(G65&lt;&gt;"",G65,IF($D$37&lt;&gt;"",$D$37,IF((IF(G64="",IF($D$35="",0,$D$35),G64))=0,0,G54/(IF(G64="",IF($D$35="",0,$D$35),G64)))))))*(IF(G64="",IF($D$35="",0,$D$35),G64))))</f>
        <v/>
      </c>
      <c r="Q100" s="75" t="str">
        <f aca="false">IF(O100="","",O100+P100)</f>
        <v/>
      </c>
      <c r="R100" s="75" t="str">
        <f aca="false">IF(H54="","",IF(12&gt;IF(H57="",10,H57),"",H54*(1+IF(H55="",0,H55))^ROUNDDOWN((12-1)/IF(H56="",5,H56),0)))</f>
        <v/>
      </c>
      <c r="S100" s="75" t="str">
        <f aca="false">IF(R100="","",IF((IF(H64="",IF($D$35="",0,$D$35),H64))=0,0,MAX(0,1640988.24-(IF(H65&lt;&gt;"",H65,IF($D$37&lt;&gt;"",$D$37,IF((IF(H64="",IF($D$35="",0,$D$35),H64))=0,0,H54/(IF(H64="",IF($D$35="",0,$D$35),H64)))))))*(IF(H64="",IF($D$35="",0,$D$35),H64))))</f>
        <v/>
      </c>
      <c r="T100" s="75" t="str">
        <f aca="false">IF(R100="","",R100+S100)</f>
        <v/>
      </c>
    </row>
    <row r="101" customFormat="false" ht="15" hidden="false" customHeight="false" outlineLevel="0" collapsed="false">
      <c r="A101" s="74" t="n">
        <v>13</v>
      </c>
      <c r="B101" s="75" t="n">
        <v>1673808</v>
      </c>
      <c r="C101" s="76" t="n">
        <v>121217</v>
      </c>
      <c r="D101" s="76" t="n">
        <v>0</v>
      </c>
      <c r="E101" s="76" t="n">
        <v>121217</v>
      </c>
      <c r="F101" s="75" t="n">
        <f aca="false">IF(D54="","",IF(13&gt;IF(D57="",10,D57),"",D54*(1+IF(D55="",0,D55))^ROUNDDOWN((13-1)/IF(D56="",5,D56),0)))</f>
        <v>126114.1668</v>
      </c>
      <c r="G101" s="75" t="n">
        <f aca="false">IF(F101="","",IF((IF(D64="",IF($D$35="",0,$D$35),D64))=0,0,MAX(0,1673808.01-(IF(D65&lt;&gt;"",D65,IF($D$37&lt;&gt;"",$D$37,IF((IF(D64="",IF($D$35="",0,$D$35),D64))=0,0,D54/(IF(D64="",IF($D$35="",0,$D$35),D64)))))))*(IF(D64="",IF($D$35="",0,$D$35),D64))))</f>
        <v>0</v>
      </c>
      <c r="H101" s="75" t="n">
        <f aca="false">IF(F101="","",F101+G101)</f>
        <v>126114.1668</v>
      </c>
      <c r="I101" s="75" t="str">
        <f aca="false">IF(E54="","",IF(13&gt;IF(E57="",10,E57),"",E54*(1+IF(E55="",0,E55))^ROUNDDOWN((13-1)/IF(E56="",5,E56),0)))</f>
        <v/>
      </c>
      <c r="J101" s="75" t="str">
        <f aca="false">IF(I101="","",IF((IF(E64="",IF($D$35="",0,$D$35),E64))=0,0,MAX(0,1673808.01-(IF(E65&lt;&gt;"",E65,IF($D$37&lt;&gt;"",$D$37,IF((IF(E64="",IF($D$35="",0,$D$35),E64))=0,0,E54/(IF(E64="",IF($D$35="",0,$D$35),E64)))))))*(IF(E64="",IF($D$35="",0,$D$35),E64))))</f>
        <v/>
      </c>
      <c r="K101" s="75" t="str">
        <f aca="false">IF(I101="","",I101+J101)</f>
        <v/>
      </c>
      <c r="L101" s="75" t="str">
        <f aca="false">IF(F54="","",IF(13&gt;IF(F57="",10,F57),"",F54*(1+IF(F55="",0,F55))^ROUNDDOWN((13-1)/IF(F56="",5,F56),0)))</f>
        <v/>
      </c>
      <c r="M101" s="75" t="str">
        <f aca="false">IF(L101="","",IF((IF(F64="",IF($D$35="",0,$D$35),F64))=0,0,MAX(0,1673808.01-(IF(F65&lt;&gt;"",F65,IF($D$37&lt;&gt;"",$D$37,IF((IF(F64="",IF($D$35="",0,$D$35),F64))=0,0,F54/(IF(F64="",IF($D$35="",0,$D$35),F64)))))))*(IF(F64="",IF($D$35="",0,$D$35),F64))))</f>
        <v/>
      </c>
      <c r="N101" s="75" t="str">
        <f aca="false">IF(L101="","",L101+M101)</f>
        <v/>
      </c>
      <c r="O101" s="75" t="str">
        <f aca="false">IF(G54="","",IF(13&gt;IF(G57="",10,G57),"",G54*(1+IF(G55="",0,G55))^ROUNDDOWN((13-1)/IF(G56="",5,G56),0)))</f>
        <v/>
      </c>
      <c r="P101" s="75" t="str">
        <f aca="false">IF(O101="","",IF((IF(G64="",IF($D$35="",0,$D$35),G64))=0,0,MAX(0,1673808.01-(IF(G65&lt;&gt;"",G65,IF($D$37&lt;&gt;"",$D$37,IF((IF(G64="",IF($D$35="",0,$D$35),G64))=0,0,G54/(IF(G64="",IF($D$35="",0,$D$35),G64)))))))*(IF(G64="",IF($D$35="",0,$D$35),G64))))</f>
        <v/>
      </c>
      <c r="Q101" s="75" t="str">
        <f aca="false">IF(O101="","",O101+P101)</f>
        <v/>
      </c>
      <c r="R101" s="75" t="str">
        <f aca="false">IF(H54="","",IF(13&gt;IF(H57="",10,H57),"",H54*(1+IF(H55="",0,H55))^ROUNDDOWN((13-1)/IF(H56="",5,H56),0)))</f>
        <v/>
      </c>
      <c r="S101" s="75" t="str">
        <f aca="false">IF(R101="","",IF((IF(H64="",IF($D$35="",0,$D$35),H64))=0,0,MAX(0,1673808.01-(IF(H65&lt;&gt;"",H65,IF($D$37&lt;&gt;"",$D$37,IF((IF(H64="",IF($D$35="",0,$D$35),H64))=0,0,H54/(IF(H64="",IF($D$35="",0,$D$35),H64)))))))*(IF(H64="",IF($D$35="",0,$D$35),H64))))</f>
        <v/>
      </c>
      <c r="T101" s="75" t="str">
        <f aca="false">IF(R101="","",R101+S101)</f>
        <v/>
      </c>
    </row>
    <row r="102" customFormat="false" ht="15" hidden="false" customHeight="false" outlineLevel="0" collapsed="false">
      <c r="A102" s="74" t="n">
        <v>14</v>
      </c>
      <c r="B102" s="75" t="n">
        <v>1707284</v>
      </c>
      <c r="C102" s="76" t="n">
        <v>121217</v>
      </c>
      <c r="D102" s="76" t="n">
        <v>0</v>
      </c>
      <c r="E102" s="76" t="n">
        <v>121217</v>
      </c>
      <c r="F102" s="75" t="n">
        <f aca="false">IF(D54="","",IF(14&gt;IF(D57="",10,D57),"",D54*(1+IF(D55="",0,D55))^ROUNDDOWN((14-1)/IF(D56="",5,D56),0)))</f>
        <v>126114.1668</v>
      </c>
      <c r="G102" s="75" t="n">
        <f aca="false">IF(F102="","",IF((IF(D64="",IF($D$35="",0,$D$35),D64))=0,0,MAX(0,1707284.17-(IF(D65&lt;&gt;"",D65,IF($D$37&lt;&gt;"",$D$37,IF((IF(D64="",IF($D$35="",0,$D$35),D64))=0,0,D54/(IF(D64="",IF($D$35="",0,$D$35),D64)))))))*(IF(D64="",IF($D$35="",0,$D$35),D64))))</f>
        <v>0</v>
      </c>
      <c r="H102" s="75" t="n">
        <f aca="false">IF(F102="","",F102+G102)</f>
        <v>126114.1668</v>
      </c>
      <c r="I102" s="75" t="str">
        <f aca="false">IF(E54="","",IF(14&gt;IF(E57="",10,E57),"",E54*(1+IF(E55="",0,E55))^ROUNDDOWN((14-1)/IF(E56="",5,E56),0)))</f>
        <v/>
      </c>
      <c r="J102" s="75" t="str">
        <f aca="false">IF(I102="","",IF((IF(E64="",IF($D$35="",0,$D$35),E64))=0,0,MAX(0,1707284.17-(IF(E65&lt;&gt;"",E65,IF($D$37&lt;&gt;"",$D$37,IF((IF(E64="",IF($D$35="",0,$D$35),E64))=0,0,E54/(IF(E64="",IF($D$35="",0,$D$35),E64)))))))*(IF(E64="",IF($D$35="",0,$D$35),E64))))</f>
        <v/>
      </c>
      <c r="K102" s="75" t="str">
        <f aca="false">IF(I102="","",I102+J102)</f>
        <v/>
      </c>
      <c r="L102" s="75" t="str">
        <f aca="false">IF(F54="","",IF(14&gt;IF(F57="",10,F57),"",F54*(1+IF(F55="",0,F55))^ROUNDDOWN((14-1)/IF(F56="",5,F56),0)))</f>
        <v/>
      </c>
      <c r="M102" s="75" t="str">
        <f aca="false">IF(L102="","",IF((IF(F64="",IF($D$35="",0,$D$35),F64))=0,0,MAX(0,1707284.17-(IF(F65&lt;&gt;"",F65,IF($D$37&lt;&gt;"",$D$37,IF((IF(F64="",IF($D$35="",0,$D$35),F64))=0,0,F54/(IF(F64="",IF($D$35="",0,$D$35),F64)))))))*(IF(F64="",IF($D$35="",0,$D$35),F64))))</f>
        <v/>
      </c>
      <c r="N102" s="75" t="str">
        <f aca="false">IF(L102="","",L102+M102)</f>
        <v/>
      </c>
      <c r="O102" s="75" t="str">
        <f aca="false">IF(G54="","",IF(14&gt;IF(G57="",10,G57),"",G54*(1+IF(G55="",0,G55))^ROUNDDOWN((14-1)/IF(G56="",5,G56),0)))</f>
        <v/>
      </c>
      <c r="P102" s="75" t="str">
        <f aca="false">IF(O102="","",IF((IF(G64="",IF($D$35="",0,$D$35),G64))=0,0,MAX(0,1707284.17-(IF(G65&lt;&gt;"",G65,IF($D$37&lt;&gt;"",$D$37,IF((IF(G64="",IF($D$35="",0,$D$35),G64))=0,0,G54/(IF(G64="",IF($D$35="",0,$D$35),G64)))))))*(IF(G64="",IF($D$35="",0,$D$35),G64))))</f>
        <v/>
      </c>
      <c r="Q102" s="75" t="str">
        <f aca="false">IF(O102="","",O102+P102)</f>
        <v/>
      </c>
      <c r="R102" s="75" t="str">
        <f aca="false">IF(H54="","",IF(14&gt;IF(H57="",10,H57),"",H54*(1+IF(H55="",0,H55))^ROUNDDOWN((14-1)/IF(H56="",5,H56),0)))</f>
        <v/>
      </c>
      <c r="S102" s="75" t="str">
        <f aca="false">IF(R102="","",IF((IF(H64="",IF($D$35="",0,$D$35),H64))=0,0,MAX(0,1707284.17-(IF(H65&lt;&gt;"",H65,IF($D$37&lt;&gt;"",$D$37,IF((IF(H64="",IF($D$35="",0,$D$35),H64))=0,0,H54/(IF(H64="",IF($D$35="",0,$D$35),H64)))))))*(IF(H64="",IF($D$35="",0,$D$35),H64))))</f>
        <v/>
      </c>
      <c r="T102" s="75" t="str">
        <f aca="false">IF(R102="","",R102+S102)</f>
        <v/>
      </c>
    </row>
    <row r="103" customFormat="false" ht="15" hidden="false" customHeight="false" outlineLevel="0" collapsed="false">
      <c r="A103" s="74" t="n">
        <v>15</v>
      </c>
      <c r="B103" s="75" t="n">
        <v>1741430</v>
      </c>
      <c r="C103" s="76" t="n">
        <v>121217</v>
      </c>
      <c r="D103" s="76" t="n">
        <v>0</v>
      </c>
      <c r="E103" s="76" t="n">
        <v>121217</v>
      </c>
      <c r="F103" s="75" t="n">
        <f aca="false">IF(D54="","",IF(15&gt;IF(D57="",10,D57),"",D54*(1+IF(D55="",0,D55))^ROUNDDOWN((15-1)/IF(D56="",5,D56),0)))</f>
        <v>126114.1668</v>
      </c>
      <c r="G103" s="75" t="n">
        <f aca="false">IF(F103="","",IF((IF(D64="",IF($D$35="",0,$D$35),D64))=0,0,MAX(0,1741429.85-(IF(D65&lt;&gt;"",D65,IF($D$37&lt;&gt;"",$D$37,IF((IF(D64="",IF($D$35="",0,$D$35),D64))=0,0,D54/(IF(D64="",IF($D$35="",0,$D$35),D64)))))))*(IF(D64="",IF($D$35="",0,$D$35),D64))))</f>
        <v>0</v>
      </c>
      <c r="H103" s="75" t="n">
        <f aca="false">IF(F103="","",F103+G103)</f>
        <v>126114.1668</v>
      </c>
      <c r="I103" s="75" t="str">
        <f aca="false">IF(E54="","",IF(15&gt;IF(E57="",10,E57),"",E54*(1+IF(E55="",0,E55))^ROUNDDOWN((15-1)/IF(E56="",5,E56),0)))</f>
        <v/>
      </c>
      <c r="J103" s="75" t="str">
        <f aca="false">IF(I103="","",IF((IF(E64="",IF($D$35="",0,$D$35),E64))=0,0,MAX(0,1741429.85-(IF(E65&lt;&gt;"",E65,IF($D$37&lt;&gt;"",$D$37,IF((IF(E64="",IF($D$35="",0,$D$35),E64))=0,0,E54/(IF(E64="",IF($D$35="",0,$D$35),E64)))))))*(IF(E64="",IF($D$35="",0,$D$35),E64))))</f>
        <v/>
      </c>
      <c r="K103" s="75" t="str">
        <f aca="false">IF(I103="","",I103+J103)</f>
        <v/>
      </c>
      <c r="L103" s="75" t="str">
        <f aca="false">IF(F54="","",IF(15&gt;IF(F57="",10,F57),"",F54*(1+IF(F55="",0,F55))^ROUNDDOWN((15-1)/IF(F56="",5,F56),0)))</f>
        <v/>
      </c>
      <c r="M103" s="75" t="str">
        <f aca="false">IF(L103="","",IF((IF(F64="",IF($D$35="",0,$D$35),F64))=0,0,MAX(0,1741429.85-(IF(F65&lt;&gt;"",F65,IF($D$37&lt;&gt;"",$D$37,IF((IF(F64="",IF($D$35="",0,$D$35),F64))=0,0,F54/(IF(F64="",IF($D$35="",0,$D$35),F64)))))))*(IF(F64="",IF($D$35="",0,$D$35),F64))))</f>
        <v/>
      </c>
      <c r="N103" s="75" t="str">
        <f aca="false">IF(L103="","",L103+M103)</f>
        <v/>
      </c>
      <c r="O103" s="75" t="str">
        <f aca="false">IF(G54="","",IF(15&gt;IF(G57="",10,G57),"",G54*(1+IF(G55="",0,G55))^ROUNDDOWN((15-1)/IF(G56="",5,G56),0)))</f>
        <v/>
      </c>
      <c r="P103" s="75" t="str">
        <f aca="false">IF(O103="","",IF((IF(G64="",IF($D$35="",0,$D$35),G64))=0,0,MAX(0,1741429.85-(IF(G65&lt;&gt;"",G65,IF($D$37&lt;&gt;"",$D$37,IF((IF(G64="",IF($D$35="",0,$D$35),G64))=0,0,G54/(IF(G64="",IF($D$35="",0,$D$35),G64)))))))*(IF(G64="",IF($D$35="",0,$D$35),G64))))</f>
        <v/>
      </c>
      <c r="Q103" s="75" t="str">
        <f aca="false">IF(O103="","",O103+P103)</f>
        <v/>
      </c>
      <c r="R103" s="75" t="str">
        <f aca="false">IF(H54="","",IF(15&gt;IF(H57="",10,H57),"",H54*(1+IF(H55="",0,H55))^ROUNDDOWN((15-1)/IF(H56="",5,H56),0)))</f>
        <v/>
      </c>
      <c r="S103" s="75" t="str">
        <f aca="false">IF(R103="","",IF((IF(H64="",IF($D$35="",0,$D$35),H64))=0,0,MAX(0,1741429.85-(IF(H65&lt;&gt;"",H65,IF($D$37&lt;&gt;"",$D$37,IF((IF(H64="",IF($D$35="",0,$D$35),H64))=0,0,H54/(IF(H64="",IF($D$35="",0,$D$35),H64)))))))*(IF(H64="",IF($D$35="",0,$D$35),H64))))</f>
        <v/>
      </c>
      <c r="T103" s="75" t="str">
        <f aca="false">IF(R103="","",R103+S103)</f>
        <v/>
      </c>
    </row>
    <row r="104" customFormat="false" ht="15" hidden="false" customHeight="false" outlineLevel="0" collapsed="false">
      <c r="A104" s="74" t="n">
        <v>16</v>
      </c>
      <c r="B104" s="75" t="n">
        <v>1776258</v>
      </c>
      <c r="C104" s="76" t="n">
        <v>121217</v>
      </c>
      <c r="D104" s="76" t="n">
        <v>0</v>
      </c>
      <c r="E104" s="76" t="n">
        <v>121217</v>
      </c>
      <c r="F104" s="75" t="n">
        <f aca="false">IF(D54="","",IF(16&gt;IF(D57="",10,D57),"",D54*(1+IF(D55="",0,D55))^ROUNDDOWN((16-1)/IF(D56="",5,D56),0)))</f>
        <v>128636.450136</v>
      </c>
      <c r="G104" s="75" t="n">
        <f aca="false">IF(F104="","",IF((IF(D64="",IF($D$35="",0,$D$35),D64))=0,0,MAX(0,1776258.45-(IF(D65&lt;&gt;"",D65,IF($D$37&lt;&gt;"",$D$37,IF((IF(D64="",IF($D$35="",0,$D$35),D64))=0,0,D54/(IF(D64="",IF($D$35="",0,$D$35),D64)))))))*(IF(D64="",IF($D$35="",0,$D$35),D64))))</f>
        <v>0</v>
      </c>
      <c r="H104" s="75" t="n">
        <f aca="false">IF(F104="","",F104+G104)</f>
        <v>128636.450136</v>
      </c>
      <c r="I104" s="75" t="str">
        <f aca="false">IF(E54="","",IF(16&gt;IF(E57="",10,E57),"",E54*(1+IF(E55="",0,E55))^ROUNDDOWN((16-1)/IF(E56="",5,E56),0)))</f>
        <v/>
      </c>
      <c r="J104" s="75" t="str">
        <f aca="false">IF(I104="","",IF((IF(E64="",IF($D$35="",0,$D$35),E64))=0,0,MAX(0,1776258.45-(IF(E65&lt;&gt;"",E65,IF($D$37&lt;&gt;"",$D$37,IF((IF(E64="",IF($D$35="",0,$D$35),E64))=0,0,E54/(IF(E64="",IF($D$35="",0,$D$35),E64)))))))*(IF(E64="",IF($D$35="",0,$D$35),E64))))</f>
        <v/>
      </c>
      <c r="K104" s="75" t="str">
        <f aca="false">IF(I104="","",I104+J104)</f>
        <v/>
      </c>
      <c r="L104" s="75" t="str">
        <f aca="false">IF(F54="","",IF(16&gt;IF(F57="",10,F57),"",F54*(1+IF(F55="",0,F55))^ROUNDDOWN((16-1)/IF(F56="",5,F56),0)))</f>
        <v/>
      </c>
      <c r="M104" s="75" t="str">
        <f aca="false">IF(L104="","",IF((IF(F64="",IF($D$35="",0,$D$35),F64))=0,0,MAX(0,1776258.45-(IF(F65&lt;&gt;"",F65,IF($D$37&lt;&gt;"",$D$37,IF((IF(F64="",IF($D$35="",0,$D$35),F64))=0,0,F54/(IF(F64="",IF($D$35="",0,$D$35),F64)))))))*(IF(F64="",IF($D$35="",0,$D$35),F64))))</f>
        <v/>
      </c>
      <c r="N104" s="75" t="str">
        <f aca="false">IF(L104="","",L104+M104)</f>
        <v/>
      </c>
      <c r="O104" s="75" t="str">
        <f aca="false">IF(G54="","",IF(16&gt;IF(G57="",10,G57),"",G54*(1+IF(G55="",0,G55))^ROUNDDOWN((16-1)/IF(G56="",5,G56),0)))</f>
        <v/>
      </c>
      <c r="P104" s="75" t="str">
        <f aca="false">IF(O104="","",IF((IF(G64="",IF($D$35="",0,$D$35),G64))=0,0,MAX(0,1776258.45-(IF(G65&lt;&gt;"",G65,IF($D$37&lt;&gt;"",$D$37,IF((IF(G64="",IF($D$35="",0,$D$35),G64))=0,0,G54/(IF(G64="",IF($D$35="",0,$D$35),G64)))))))*(IF(G64="",IF($D$35="",0,$D$35),G64))))</f>
        <v/>
      </c>
      <c r="Q104" s="75" t="str">
        <f aca="false">IF(O104="","",O104+P104)</f>
        <v/>
      </c>
      <c r="R104" s="75" t="str">
        <f aca="false">IF(H54="","",IF(16&gt;IF(H57="",10,H57),"",H54*(1+IF(H55="",0,H55))^ROUNDDOWN((16-1)/IF(H56="",5,H56),0)))</f>
        <v/>
      </c>
      <c r="S104" s="75" t="str">
        <f aca="false">IF(R104="","",IF((IF(H64="",IF($D$35="",0,$D$35),H64))=0,0,MAX(0,1776258.45-(IF(H65&lt;&gt;"",H65,IF($D$37&lt;&gt;"",$D$37,IF((IF(H64="",IF($D$35="",0,$D$35),H64))=0,0,H54/(IF(H64="",IF($D$35="",0,$D$35),H64)))))))*(IF(H64="",IF($D$35="",0,$D$35),H64))))</f>
        <v/>
      </c>
      <c r="T104" s="75" t="str">
        <f aca="false">IF(R104="","",R104+S104)</f>
        <v/>
      </c>
    </row>
    <row r="105" customFormat="false" ht="15" hidden="false" customHeight="false" outlineLevel="0" collapsed="false">
      <c r="A105" s="74" t="n">
        <v>17</v>
      </c>
      <c r="B105" s="75" t="n">
        <v>1811784</v>
      </c>
      <c r="C105" s="76" t="n">
        <v>121217</v>
      </c>
      <c r="D105" s="76" t="n">
        <v>0</v>
      </c>
      <c r="E105" s="76" t="n">
        <v>121217</v>
      </c>
      <c r="F105" s="75" t="n">
        <f aca="false">IF(D54="","",IF(17&gt;IF(D57="",10,D57),"",D54*(1+IF(D55="",0,D55))^ROUNDDOWN((17-1)/IF(D56="",5,D56),0)))</f>
        <v>128636.450136</v>
      </c>
      <c r="G105" s="75" t="n">
        <f aca="false">IF(F105="","",IF((IF(D64="",IF($D$35="",0,$D$35),D64))=0,0,MAX(0,1811783.62-(IF(D65&lt;&gt;"",D65,IF($D$37&lt;&gt;"",$D$37,IF((IF(D64="",IF($D$35="",0,$D$35),D64))=0,0,D54/(IF(D64="",IF($D$35="",0,$D$35),D64)))))))*(IF(D64="",IF($D$35="",0,$D$35),D64))))</f>
        <v>0</v>
      </c>
      <c r="H105" s="75" t="n">
        <f aca="false">IF(F105="","",F105+G105)</f>
        <v>128636.450136</v>
      </c>
      <c r="I105" s="75" t="str">
        <f aca="false">IF(E54="","",IF(17&gt;IF(E57="",10,E57),"",E54*(1+IF(E55="",0,E55))^ROUNDDOWN((17-1)/IF(E56="",5,E56),0)))</f>
        <v/>
      </c>
      <c r="J105" s="75" t="str">
        <f aca="false">IF(I105="","",IF((IF(E64="",IF($D$35="",0,$D$35),E64))=0,0,MAX(0,1811783.62-(IF(E65&lt;&gt;"",E65,IF($D$37&lt;&gt;"",$D$37,IF((IF(E64="",IF($D$35="",0,$D$35),E64))=0,0,E54/(IF(E64="",IF($D$35="",0,$D$35),E64)))))))*(IF(E64="",IF($D$35="",0,$D$35),E64))))</f>
        <v/>
      </c>
      <c r="K105" s="75" t="str">
        <f aca="false">IF(I105="","",I105+J105)</f>
        <v/>
      </c>
      <c r="L105" s="75" t="str">
        <f aca="false">IF(F54="","",IF(17&gt;IF(F57="",10,F57),"",F54*(1+IF(F55="",0,F55))^ROUNDDOWN((17-1)/IF(F56="",5,F56),0)))</f>
        <v/>
      </c>
      <c r="M105" s="75" t="str">
        <f aca="false">IF(L105="","",IF((IF(F64="",IF($D$35="",0,$D$35),F64))=0,0,MAX(0,1811783.62-(IF(F65&lt;&gt;"",F65,IF($D$37&lt;&gt;"",$D$37,IF((IF(F64="",IF($D$35="",0,$D$35),F64))=0,0,F54/(IF(F64="",IF($D$35="",0,$D$35),F64)))))))*(IF(F64="",IF($D$35="",0,$D$35),F64))))</f>
        <v/>
      </c>
      <c r="N105" s="75" t="str">
        <f aca="false">IF(L105="","",L105+M105)</f>
        <v/>
      </c>
      <c r="O105" s="75" t="str">
        <f aca="false">IF(G54="","",IF(17&gt;IF(G57="",10,G57),"",G54*(1+IF(G55="",0,G55))^ROUNDDOWN((17-1)/IF(G56="",5,G56),0)))</f>
        <v/>
      </c>
      <c r="P105" s="75" t="str">
        <f aca="false">IF(O105="","",IF((IF(G64="",IF($D$35="",0,$D$35),G64))=0,0,MAX(0,1811783.62-(IF(G65&lt;&gt;"",G65,IF($D$37&lt;&gt;"",$D$37,IF((IF(G64="",IF($D$35="",0,$D$35),G64))=0,0,G54/(IF(G64="",IF($D$35="",0,$D$35),G64)))))))*(IF(G64="",IF($D$35="",0,$D$35),G64))))</f>
        <v/>
      </c>
      <c r="Q105" s="75" t="str">
        <f aca="false">IF(O105="","",O105+P105)</f>
        <v/>
      </c>
      <c r="R105" s="75" t="str">
        <f aca="false">IF(H54="","",IF(17&gt;IF(H57="",10,H57),"",H54*(1+IF(H55="",0,H55))^ROUNDDOWN((17-1)/IF(H56="",5,H56),0)))</f>
        <v/>
      </c>
      <c r="S105" s="75" t="str">
        <f aca="false">IF(R105="","",IF((IF(H64="",IF($D$35="",0,$D$35),H64))=0,0,MAX(0,1811783.62-(IF(H65&lt;&gt;"",H65,IF($D$37&lt;&gt;"",$D$37,IF((IF(H64="",IF($D$35="",0,$D$35),H64))=0,0,H54/(IF(H64="",IF($D$35="",0,$D$35),H64)))))))*(IF(H64="",IF($D$35="",0,$D$35),H64))))</f>
        <v/>
      </c>
      <c r="T105" s="75" t="str">
        <f aca="false">IF(R105="","",R105+S105)</f>
        <v/>
      </c>
    </row>
    <row r="106" customFormat="false" ht="15" hidden="false" customHeight="false" outlineLevel="0" collapsed="false">
      <c r="A106" s="74" t="n">
        <v>18</v>
      </c>
      <c r="B106" s="75" t="n">
        <v>1848019</v>
      </c>
      <c r="C106" s="76" t="n">
        <v>121217</v>
      </c>
      <c r="D106" s="76" t="n">
        <v>0</v>
      </c>
      <c r="E106" s="76" t="n">
        <v>121217</v>
      </c>
      <c r="F106" s="75" t="n">
        <f aca="false">IF(D54="","",IF(18&gt;IF(D57="",10,D57),"",D54*(1+IF(D55="",0,D55))^ROUNDDOWN((18-1)/IF(D56="",5,D56),0)))</f>
        <v>128636.450136</v>
      </c>
      <c r="G106" s="75" t="n">
        <f aca="false">IF(F106="","",IF((IF(D64="",IF($D$35="",0,$D$35),D64))=0,0,MAX(0,1848019.29-(IF(D65&lt;&gt;"",D65,IF($D$37&lt;&gt;"",$D$37,IF((IF(D64="",IF($D$35="",0,$D$35),D64))=0,0,D54/(IF(D64="",IF($D$35="",0,$D$35),D64)))))))*(IF(D64="",IF($D$35="",0,$D$35),D64))))</f>
        <v>0</v>
      </c>
      <c r="H106" s="75" t="n">
        <f aca="false">IF(F106="","",F106+G106)</f>
        <v>128636.450136</v>
      </c>
      <c r="I106" s="75" t="str">
        <f aca="false">IF(E54="","",IF(18&gt;IF(E57="",10,E57),"",E54*(1+IF(E55="",0,E55))^ROUNDDOWN((18-1)/IF(E56="",5,E56),0)))</f>
        <v/>
      </c>
      <c r="J106" s="75" t="str">
        <f aca="false">IF(I106="","",IF((IF(E64="",IF($D$35="",0,$D$35),E64))=0,0,MAX(0,1848019.29-(IF(E65&lt;&gt;"",E65,IF($D$37&lt;&gt;"",$D$37,IF((IF(E64="",IF($D$35="",0,$D$35),E64))=0,0,E54/(IF(E64="",IF($D$35="",0,$D$35),E64)))))))*(IF(E64="",IF($D$35="",0,$D$35),E64))))</f>
        <v/>
      </c>
      <c r="K106" s="75" t="str">
        <f aca="false">IF(I106="","",I106+J106)</f>
        <v/>
      </c>
      <c r="L106" s="75" t="str">
        <f aca="false">IF(F54="","",IF(18&gt;IF(F57="",10,F57),"",F54*(1+IF(F55="",0,F55))^ROUNDDOWN((18-1)/IF(F56="",5,F56),0)))</f>
        <v/>
      </c>
      <c r="M106" s="75" t="str">
        <f aca="false">IF(L106="","",IF((IF(F64="",IF($D$35="",0,$D$35),F64))=0,0,MAX(0,1848019.29-(IF(F65&lt;&gt;"",F65,IF($D$37&lt;&gt;"",$D$37,IF((IF(F64="",IF($D$35="",0,$D$35),F64))=0,0,F54/(IF(F64="",IF($D$35="",0,$D$35),F64)))))))*(IF(F64="",IF($D$35="",0,$D$35),F64))))</f>
        <v/>
      </c>
      <c r="N106" s="75" t="str">
        <f aca="false">IF(L106="","",L106+M106)</f>
        <v/>
      </c>
      <c r="O106" s="75" t="str">
        <f aca="false">IF(G54="","",IF(18&gt;IF(G57="",10,G57),"",G54*(1+IF(G55="",0,G55))^ROUNDDOWN((18-1)/IF(G56="",5,G56),0)))</f>
        <v/>
      </c>
      <c r="P106" s="75" t="str">
        <f aca="false">IF(O106="","",IF((IF(G64="",IF($D$35="",0,$D$35),G64))=0,0,MAX(0,1848019.29-(IF(G65&lt;&gt;"",G65,IF($D$37&lt;&gt;"",$D$37,IF((IF(G64="",IF($D$35="",0,$D$35),G64))=0,0,G54/(IF(G64="",IF($D$35="",0,$D$35),G64)))))))*(IF(G64="",IF($D$35="",0,$D$35),G64))))</f>
        <v/>
      </c>
      <c r="Q106" s="75" t="str">
        <f aca="false">IF(O106="","",O106+P106)</f>
        <v/>
      </c>
      <c r="R106" s="75" t="str">
        <f aca="false">IF(H54="","",IF(18&gt;IF(H57="",10,H57),"",H54*(1+IF(H55="",0,H55))^ROUNDDOWN((18-1)/IF(H56="",5,H56),0)))</f>
        <v/>
      </c>
      <c r="S106" s="75" t="str">
        <f aca="false">IF(R106="","",IF((IF(H64="",IF($D$35="",0,$D$35),H64))=0,0,MAX(0,1848019.29-(IF(H65&lt;&gt;"",H65,IF($D$37&lt;&gt;"",$D$37,IF((IF(H64="",IF($D$35="",0,$D$35),H64))=0,0,H54/(IF(H64="",IF($D$35="",0,$D$35),H64)))))))*(IF(H64="",IF($D$35="",0,$D$35),H64))))</f>
        <v/>
      </c>
      <c r="T106" s="75" t="str">
        <f aca="false">IF(R106="","",R106+S106)</f>
        <v/>
      </c>
    </row>
    <row r="107" customFormat="false" ht="15" hidden="false" customHeight="false" outlineLevel="0" collapsed="false">
      <c r="A107" s="74" t="n">
        <v>19</v>
      </c>
      <c r="B107" s="75" t="n">
        <v>1884980</v>
      </c>
      <c r="C107" s="76" t="n">
        <v>121217</v>
      </c>
      <c r="D107" s="76" t="n">
        <v>0</v>
      </c>
      <c r="E107" s="76" t="n">
        <v>121217</v>
      </c>
      <c r="F107" s="75" t="n">
        <f aca="false">IF(D54="","",IF(19&gt;IF(D57="",10,D57),"",D54*(1+IF(D55="",0,D55))^ROUNDDOWN((19-1)/IF(D56="",5,D56),0)))</f>
        <v>128636.450136</v>
      </c>
      <c r="G107" s="75" t="n">
        <f aca="false">IF(F107="","",IF((IF(D64="",IF($D$35="",0,$D$35),D64))=0,0,MAX(0,1884979.67-(IF(D65&lt;&gt;"",D65,IF($D$37&lt;&gt;"",$D$37,IF((IF(D64="",IF($D$35="",0,$D$35),D64))=0,0,D54/(IF(D64="",IF($D$35="",0,$D$35),D64)))))))*(IF(D64="",IF($D$35="",0,$D$35),D64))))</f>
        <v>0</v>
      </c>
      <c r="H107" s="75" t="n">
        <f aca="false">IF(F107="","",F107+G107)</f>
        <v>128636.450136</v>
      </c>
      <c r="I107" s="75" t="str">
        <f aca="false">IF(E54="","",IF(19&gt;IF(E57="",10,E57),"",E54*(1+IF(E55="",0,E55))^ROUNDDOWN((19-1)/IF(E56="",5,E56),0)))</f>
        <v/>
      </c>
      <c r="J107" s="75" t="str">
        <f aca="false">IF(I107="","",IF((IF(E64="",IF($D$35="",0,$D$35),E64))=0,0,MAX(0,1884979.67-(IF(E65&lt;&gt;"",E65,IF($D$37&lt;&gt;"",$D$37,IF((IF(E64="",IF($D$35="",0,$D$35),E64))=0,0,E54/(IF(E64="",IF($D$35="",0,$D$35),E64)))))))*(IF(E64="",IF($D$35="",0,$D$35),E64))))</f>
        <v/>
      </c>
      <c r="K107" s="75" t="str">
        <f aca="false">IF(I107="","",I107+J107)</f>
        <v/>
      </c>
      <c r="L107" s="75" t="str">
        <f aca="false">IF(F54="","",IF(19&gt;IF(F57="",10,F57),"",F54*(1+IF(F55="",0,F55))^ROUNDDOWN((19-1)/IF(F56="",5,F56),0)))</f>
        <v/>
      </c>
      <c r="M107" s="75" t="str">
        <f aca="false">IF(L107="","",IF((IF(F64="",IF($D$35="",0,$D$35),F64))=0,0,MAX(0,1884979.67-(IF(F65&lt;&gt;"",F65,IF($D$37&lt;&gt;"",$D$37,IF((IF(F64="",IF($D$35="",0,$D$35),F64))=0,0,F54/(IF(F64="",IF($D$35="",0,$D$35),F64)))))))*(IF(F64="",IF($D$35="",0,$D$35),F64))))</f>
        <v/>
      </c>
      <c r="N107" s="75" t="str">
        <f aca="false">IF(L107="","",L107+M107)</f>
        <v/>
      </c>
      <c r="O107" s="75" t="str">
        <f aca="false">IF(G54="","",IF(19&gt;IF(G57="",10,G57),"",G54*(1+IF(G55="",0,G55))^ROUNDDOWN((19-1)/IF(G56="",5,G56),0)))</f>
        <v/>
      </c>
      <c r="P107" s="75" t="str">
        <f aca="false">IF(O107="","",IF((IF(G64="",IF($D$35="",0,$D$35),G64))=0,0,MAX(0,1884979.67-(IF(G65&lt;&gt;"",G65,IF($D$37&lt;&gt;"",$D$37,IF((IF(G64="",IF($D$35="",0,$D$35),G64))=0,0,G54/(IF(G64="",IF($D$35="",0,$D$35),G64)))))))*(IF(G64="",IF($D$35="",0,$D$35),G64))))</f>
        <v/>
      </c>
      <c r="Q107" s="75" t="str">
        <f aca="false">IF(O107="","",O107+P107)</f>
        <v/>
      </c>
      <c r="R107" s="75" t="str">
        <f aca="false">IF(H54="","",IF(19&gt;IF(H57="",10,H57),"",H54*(1+IF(H55="",0,H55))^ROUNDDOWN((19-1)/IF(H56="",5,H56),0)))</f>
        <v/>
      </c>
      <c r="S107" s="75" t="str">
        <f aca="false">IF(R107="","",IF((IF(H64="",IF($D$35="",0,$D$35),H64))=0,0,MAX(0,1884979.67-(IF(H65&lt;&gt;"",H65,IF($D$37&lt;&gt;"",$D$37,IF((IF(H64="",IF($D$35="",0,$D$35),H64))=0,0,H54/(IF(H64="",IF($D$35="",0,$D$35),H64)))))))*(IF(H64="",IF($D$35="",0,$D$35),H64))))</f>
        <v/>
      </c>
      <c r="T107" s="75" t="str">
        <f aca="false">IF(R107="","",R107+S107)</f>
        <v/>
      </c>
    </row>
    <row r="108" customFormat="false" ht="15" hidden="false" customHeight="false" outlineLevel="0" collapsed="false">
      <c r="A108" s="74" t="n">
        <v>20</v>
      </c>
      <c r="B108" s="75" t="n">
        <v>1922679</v>
      </c>
      <c r="C108" s="76" t="n">
        <v>121217</v>
      </c>
      <c r="D108" s="76" t="n">
        <v>0</v>
      </c>
      <c r="E108" s="76" t="n">
        <v>121217</v>
      </c>
      <c r="F108" s="75" t="n">
        <f aca="false">IF(D54="","",IF(20&gt;IF(D57="",10,D57),"",D54*(1+IF(D55="",0,D55))^ROUNDDOWN((20-1)/IF(D56="",5,D56),0)))</f>
        <v>128636.450136</v>
      </c>
      <c r="G108" s="75" t="n">
        <f aca="false">IF(F108="","",IF((IF(D64="",IF($D$35="",0,$D$35),D64))=0,0,MAX(0,1922679.27-(IF(D65&lt;&gt;"",D65,IF($D$37&lt;&gt;"",$D$37,IF((IF(D64="",IF($D$35="",0,$D$35),D64))=0,0,D54/(IF(D64="",IF($D$35="",0,$D$35),D64)))))))*(IF(D64="",IF($D$35="",0,$D$35),D64))))</f>
        <v>0</v>
      </c>
      <c r="H108" s="75" t="n">
        <f aca="false">IF(F108="","",F108+G108)</f>
        <v>128636.450136</v>
      </c>
      <c r="I108" s="75" t="str">
        <f aca="false">IF(E54="","",IF(20&gt;IF(E57="",10,E57),"",E54*(1+IF(E55="",0,E55))^ROUNDDOWN((20-1)/IF(E56="",5,E56),0)))</f>
        <v/>
      </c>
      <c r="J108" s="75" t="str">
        <f aca="false">IF(I108="","",IF((IF(E64="",IF($D$35="",0,$D$35),E64))=0,0,MAX(0,1922679.27-(IF(E65&lt;&gt;"",E65,IF($D$37&lt;&gt;"",$D$37,IF((IF(E64="",IF($D$35="",0,$D$35),E64))=0,0,E54/(IF(E64="",IF($D$35="",0,$D$35),E64)))))))*(IF(E64="",IF($D$35="",0,$D$35),E64))))</f>
        <v/>
      </c>
      <c r="K108" s="75" t="str">
        <f aca="false">IF(I108="","",I108+J108)</f>
        <v/>
      </c>
      <c r="L108" s="75" t="str">
        <f aca="false">IF(F54="","",IF(20&gt;IF(F57="",10,F57),"",F54*(1+IF(F55="",0,F55))^ROUNDDOWN((20-1)/IF(F56="",5,F56),0)))</f>
        <v/>
      </c>
      <c r="M108" s="75" t="str">
        <f aca="false">IF(L108="","",IF((IF(F64="",IF($D$35="",0,$D$35),F64))=0,0,MAX(0,1922679.27-(IF(F65&lt;&gt;"",F65,IF($D$37&lt;&gt;"",$D$37,IF((IF(F64="",IF($D$35="",0,$D$35),F64))=0,0,F54/(IF(F64="",IF($D$35="",0,$D$35),F64)))))))*(IF(F64="",IF($D$35="",0,$D$35),F64))))</f>
        <v/>
      </c>
      <c r="N108" s="75" t="str">
        <f aca="false">IF(L108="","",L108+M108)</f>
        <v/>
      </c>
      <c r="O108" s="75" t="str">
        <f aca="false">IF(G54="","",IF(20&gt;IF(G57="",10,G57),"",G54*(1+IF(G55="",0,G55))^ROUNDDOWN((20-1)/IF(G56="",5,G56),0)))</f>
        <v/>
      </c>
      <c r="P108" s="75" t="str">
        <f aca="false">IF(O108="","",IF((IF(G64="",IF($D$35="",0,$D$35),G64))=0,0,MAX(0,1922679.27-(IF(G65&lt;&gt;"",G65,IF($D$37&lt;&gt;"",$D$37,IF((IF(G64="",IF($D$35="",0,$D$35),G64))=0,0,G54/(IF(G64="",IF($D$35="",0,$D$35),G64)))))))*(IF(G64="",IF($D$35="",0,$D$35),G64))))</f>
        <v/>
      </c>
      <c r="Q108" s="75" t="str">
        <f aca="false">IF(O108="","",O108+P108)</f>
        <v/>
      </c>
      <c r="R108" s="75" t="str">
        <f aca="false">IF(H54="","",IF(20&gt;IF(H57="",10,H57),"",H54*(1+IF(H55="",0,H55))^ROUNDDOWN((20-1)/IF(H56="",5,H56),0)))</f>
        <v/>
      </c>
      <c r="S108" s="75" t="str">
        <f aca="false">IF(R108="","",IF((IF(H64="",IF($D$35="",0,$D$35),H64))=0,0,MAX(0,1922679.27-(IF(H65&lt;&gt;"",H65,IF($D$37&lt;&gt;"",$D$37,IF((IF(H64="",IF($D$35="",0,$D$35),H64))=0,0,H54/(IF(H64="",IF($D$35="",0,$D$35),H64)))))))*(IF(H64="",IF($D$35="",0,$D$35),H64))))</f>
        <v/>
      </c>
      <c r="T108" s="75" t="str">
        <f aca="false">IF(R108="","",R108+S108)</f>
        <v/>
      </c>
    </row>
    <row r="109" customFormat="false" ht="15" hidden="false" customHeight="false" outlineLevel="0" collapsed="false">
      <c r="A109" s="77" t="s">
        <v>394</v>
      </c>
      <c r="C109" s="78" t="n">
        <f aca="false">IF(COUNT(C89:C108)=0,"",SUM(C89:C108))</f>
        <v>2424340</v>
      </c>
      <c r="D109" s="78" t="n">
        <f aca="false">IF(COUNT(D89:D108)=0,"",SUM(D89:D108))</f>
        <v>0</v>
      </c>
      <c r="E109" s="78" t="n">
        <f aca="false">IF(COUNT(E89:E108)=0,"",SUM(E89:E108))</f>
        <v>2424340</v>
      </c>
      <c r="F109" s="78" t="n">
        <f aca="false">IF(COUNT(F89:F108)=0,"",SUM(F89:F108))</f>
        <v>2498044.78468</v>
      </c>
      <c r="G109" s="78" t="n">
        <f aca="false">IF(COUNT(G89:G108)=0,"",SUM(G89:G108))</f>
        <v>0</v>
      </c>
      <c r="H109" s="78" t="n">
        <f aca="false">IF(COUNT(H89:H108)=0,"",SUM(H89:H108))</f>
        <v>2498044.78468</v>
      </c>
      <c r="I109" s="78" t="str">
        <f aca="false">IF(COUNT(I89:I108)=0,"",SUM(I89:I108))</f>
        <v/>
      </c>
      <c r="J109" s="78" t="str">
        <f aca="false">IF(COUNT(J89:J108)=0,"",SUM(J89:J108))</f>
        <v/>
      </c>
      <c r="K109" s="78" t="str">
        <f aca="false">IF(COUNT(K89:K108)=0,"",SUM(K89:K108))</f>
        <v/>
      </c>
      <c r="L109" s="78" t="str">
        <f aca="false">IF(COUNT(L89:L108)=0,"",SUM(L89:L108))</f>
        <v/>
      </c>
      <c r="M109" s="78" t="str">
        <f aca="false">IF(COUNT(M89:M108)=0,"",SUM(M89:M108))</f>
        <v/>
      </c>
      <c r="N109" s="78" t="str">
        <f aca="false">IF(COUNT(N89:N108)=0,"",SUM(N89:N108))</f>
        <v/>
      </c>
      <c r="O109" s="78" t="str">
        <f aca="false">IF(COUNT(O89:O108)=0,"",SUM(O89:O108))</f>
        <v/>
      </c>
      <c r="P109" s="78" t="str">
        <f aca="false">IF(COUNT(P89:P108)=0,"",SUM(P89:P108))</f>
        <v/>
      </c>
      <c r="Q109" s="78" t="str">
        <f aca="false">IF(COUNT(Q89:Q108)=0,"",SUM(Q89:Q108))</f>
        <v/>
      </c>
      <c r="R109" s="78" t="str">
        <f aca="false">IF(COUNT(R89:R108)=0,"",SUM(R89:R108))</f>
        <v/>
      </c>
      <c r="S109" s="78" t="str">
        <f aca="false">IF(COUNT(S89:S108)=0,"",SUM(S89:S108))</f>
        <v/>
      </c>
      <c r="T109" s="78" t="str">
        <f aca="false">IF(COUNT(T89:T108)=0,"",SUM(T89:T108))</f>
        <v/>
      </c>
    </row>
    <row r="110" customFormat="false" ht="15" hidden="false" customHeight="false" outlineLevel="0" collapsed="false">
      <c r="A110" s="69" t="s">
        <v>395</v>
      </c>
      <c r="B110" s="69"/>
      <c r="C110" s="69"/>
      <c r="D110" s="69"/>
      <c r="E110" s="69"/>
      <c r="F110" s="69"/>
      <c r="G110" s="69"/>
      <c r="H110" s="69"/>
      <c r="I110" s="69"/>
      <c r="J110" s="69"/>
      <c r="K110" s="69"/>
      <c r="L110" s="69"/>
      <c r="M110" s="69"/>
      <c r="N110" s="69"/>
      <c r="O110" s="69"/>
      <c r="P110" s="69"/>
      <c r="Q110" s="69"/>
      <c r="R110" s="69"/>
      <c r="S110" s="69"/>
      <c r="T110" s="69"/>
    </row>
  </sheetData>
  <mergeCells count="84">
    <mergeCell ref="A2:J2"/>
    <mergeCell ref="A3:J3"/>
    <mergeCell ref="A4:J4"/>
    <mergeCell ref="A5:J5"/>
    <mergeCell ref="A6:J6"/>
    <mergeCell ref="A7:J7"/>
    <mergeCell ref="A8:J8"/>
    <mergeCell ref="A10:C10"/>
    <mergeCell ref="D10:J10"/>
    <mergeCell ref="A11:C11"/>
    <mergeCell ref="D11:J11"/>
    <mergeCell ref="A12:C12"/>
    <mergeCell ref="D12:J12"/>
    <mergeCell ref="A13:C13"/>
    <mergeCell ref="D13:J13"/>
    <mergeCell ref="A14:C14"/>
    <mergeCell ref="D14:J14"/>
    <mergeCell ref="G17:J17"/>
    <mergeCell ref="G18:J18"/>
    <mergeCell ref="G19:J19"/>
    <mergeCell ref="G20:J20"/>
    <mergeCell ref="A21:D21"/>
    <mergeCell ref="A22:J22"/>
    <mergeCell ref="A25:C25"/>
    <mergeCell ref="A26:C26"/>
    <mergeCell ref="E26:J26"/>
    <mergeCell ref="A27:C27"/>
    <mergeCell ref="E27:J27"/>
    <mergeCell ref="A28:C28"/>
    <mergeCell ref="A29:C29"/>
    <mergeCell ref="A30:C30"/>
    <mergeCell ref="E30:J30"/>
    <mergeCell ref="A31:J31"/>
    <mergeCell ref="A32:J32"/>
    <mergeCell ref="A35:C35"/>
    <mergeCell ref="E35:J35"/>
    <mergeCell ref="A36:C36"/>
    <mergeCell ref="E36:J36"/>
    <mergeCell ref="A37:C37"/>
    <mergeCell ref="E37:J37"/>
    <mergeCell ref="A38:C38"/>
    <mergeCell ref="E38:J38"/>
    <mergeCell ref="A39:C39"/>
    <mergeCell ref="A40:C40"/>
    <mergeCell ref="A41:C41"/>
    <mergeCell ref="A42:C42"/>
    <mergeCell ref="A49:G49"/>
    <mergeCell ref="A52:C52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2:C62"/>
    <mergeCell ref="A63:C63"/>
    <mergeCell ref="A64:C64"/>
    <mergeCell ref="A65:C65"/>
    <mergeCell ref="A66:C66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79:J79"/>
    <mergeCell ref="A80:J80"/>
    <mergeCell ref="A82:J82"/>
    <mergeCell ref="A86:T86"/>
    <mergeCell ref="C87:E87"/>
    <mergeCell ref="F87:H87"/>
    <mergeCell ref="I87:K87"/>
    <mergeCell ref="L87:N87"/>
    <mergeCell ref="O87:Q87"/>
    <mergeCell ref="R87:T87"/>
    <mergeCell ref="A110:T110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T10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6"/>
    <col collapsed="false" customWidth="true" hidden="false" outlineLevel="0" max="2" min="2" style="0" width="22"/>
    <col collapsed="false" customWidth="true" hidden="false" outlineLevel="0" max="3" min="3" style="0" width="11"/>
    <col collapsed="false" customWidth="true" hidden="false" outlineLevel="0" max="4" min="4" style="0" width="14"/>
    <col collapsed="false" customWidth="true" hidden="false" outlineLevel="0" max="6" min="5" style="0" width="12"/>
    <col collapsed="false" customWidth="true" hidden="false" outlineLevel="0" max="7" min="7" style="0" width="14"/>
    <col collapsed="false" customWidth="true" hidden="false" outlineLevel="0" max="9" min="8" style="0" width="13"/>
    <col collapsed="false" customWidth="true" hidden="false" outlineLevel="0" max="10" min="10" style="0" width="26"/>
  </cols>
  <sheetData>
    <row r="1" customFormat="false" ht="16.15" hidden="false" customHeight="false" outlineLevel="0" collapsed="false">
      <c r="A1" s="3" t="s">
        <v>467</v>
      </c>
    </row>
    <row r="2" customFormat="false" ht="25.5" hidden="false" customHeight="true" outlineLevel="0" collapsed="false">
      <c r="A2" s="12" t="s">
        <v>251</v>
      </c>
      <c r="B2" s="12"/>
      <c r="C2" s="12"/>
      <c r="D2" s="12"/>
      <c r="E2" s="12"/>
      <c r="F2" s="12"/>
      <c r="G2" s="12"/>
      <c r="H2" s="12"/>
      <c r="I2" s="12"/>
      <c r="J2" s="12"/>
    </row>
    <row r="3" customFormat="false" ht="15" hidden="false" customHeight="true" outlineLevel="0" collapsed="false">
      <c r="A3" s="16" t="s">
        <v>468</v>
      </c>
      <c r="B3" s="16"/>
      <c r="C3" s="16"/>
      <c r="D3" s="16"/>
      <c r="E3" s="16"/>
      <c r="F3" s="16"/>
      <c r="G3" s="16"/>
      <c r="H3" s="16"/>
      <c r="I3" s="16"/>
      <c r="J3" s="16"/>
    </row>
    <row r="4" customFormat="false" ht="30" hidden="false" customHeight="true" outlineLevel="0" collapsed="false">
      <c r="A4" s="17" t="s">
        <v>31</v>
      </c>
      <c r="B4" s="17"/>
      <c r="C4" s="17"/>
      <c r="D4" s="17"/>
      <c r="E4" s="17"/>
      <c r="F4" s="17"/>
      <c r="G4" s="17"/>
      <c r="H4" s="17"/>
      <c r="I4" s="17"/>
      <c r="J4" s="17"/>
    </row>
    <row r="5" customFormat="false" ht="15" hidden="false" customHeight="true" outlineLevel="0" collapsed="false">
      <c r="A5" s="18" t="s">
        <v>17</v>
      </c>
      <c r="B5" s="18"/>
      <c r="C5" s="18"/>
      <c r="D5" s="18"/>
      <c r="E5" s="18"/>
      <c r="F5" s="18"/>
      <c r="G5" s="18"/>
      <c r="H5" s="18"/>
      <c r="I5" s="18"/>
      <c r="J5" s="18"/>
    </row>
    <row r="6" customFormat="false" ht="15" hidden="false" customHeight="true" outlineLevel="0" collapsed="false">
      <c r="A6" s="19" t="s">
        <v>32</v>
      </c>
      <c r="B6" s="19"/>
      <c r="C6" s="19"/>
      <c r="D6" s="19"/>
      <c r="E6" s="19"/>
      <c r="F6" s="19"/>
      <c r="G6" s="19"/>
      <c r="H6" s="19"/>
      <c r="I6" s="19"/>
      <c r="J6" s="19"/>
    </row>
    <row r="7" customFormat="false" ht="23.85" hidden="false" customHeight="true" outlineLevel="0" collapsed="false">
      <c r="A7" s="20" t="s">
        <v>469</v>
      </c>
      <c r="B7" s="20"/>
      <c r="C7" s="20"/>
      <c r="D7" s="20"/>
      <c r="E7" s="20"/>
      <c r="F7" s="20"/>
      <c r="G7" s="20"/>
      <c r="H7" s="20"/>
      <c r="I7" s="20"/>
      <c r="J7" s="20"/>
    </row>
    <row r="8" customFormat="false" ht="15" hidden="false" customHeight="true" outlineLevel="0" collapsed="false">
      <c r="A8" s="21" t="s">
        <v>254</v>
      </c>
      <c r="B8" s="21"/>
      <c r="C8" s="21"/>
      <c r="D8" s="21"/>
      <c r="E8" s="21"/>
      <c r="F8" s="21"/>
      <c r="G8" s="21"/>
      <c r="H8" s="21"/>
      <c r="I8" s="21"/>
      <c r="J8" s="21"/>
    </row>
    <row r="10" customFormat="false" ht="15" hidden="false" customHeight="true" outlineLevel="0" collapsed="false">
      <c r="A10" s="22" t="s">
        <v>255</v>
      </c>
      <c r="B10" s="22"/>
      <c r="C10" s="22"/>
      <c r="D10" s="23" t="s">
        <v>470</v>
      </c>
      <c r="E10" s="23"/>
      <c r="F10" s="23"/>
      <c r="G10" s="23"/>
      <c r="H10" s="23"/>
      <c r="I10" s="23"/>
      <c r="J10" s="23"/>
    </row>
    <row r="11" customFormat="false" ht="15" hidden="false" customHeight="true" outlineLevel="0" collapsed="false">
      <c r="A11" s="22" t="s">
        <v>257</v>
      </c>
      <c r="B11" s="22"/>
      <c r="C11" s="22"/>
      <c r="D11" s="23" t="s">
        <v>471</v>
      </c>
      <c r="E11" s="23"/>
      <c r="F11" s="23"/>
      <c r="G11" s="23"/>
      <c r="H11" s="23"/>
      <c r="I11" s="23"/>
      <c r="J11" s="23"/>
    </row>
    <row r="12" customFormat="false" ht="15" hidden="false" customHeight="true" outlineLevel="0" collapsed="false">
      <c r="A12" s="22" t="s">
        <v>259</v>
      </c>
      <c r="B12" s="22"/>
      <c r="C12" s="22"/>
      <c r="D12" s="86"/>
      <c r="E12" s="86"/>
      <c r="F12" s="86"/>
      <c r="G12" s="86"/>
      <c r="H12" s="86"/>
      <c r="I12" s="86"/>
      <c r="J12" s="86"/>
    </row>
    <row r="13" customFormat="false" ht="15" hidden="false" customHeight="true" outlineLevel="0" collapsed="false">
      <c r="A13" s="22" t="s">
        <v>261</v>
      </c>
      <c r="B13" s="22"/>
      <c r="C13" s="22"/>
      <c r="D13" s="24" t="n">
        <v>2223766</v>
      </c>
      <c r="E13" s="24"/>
      <c r="F13" s="24"/>
      <c r="G13" s="24"/>
      <c r="H13" s="24"/>
      <c r="I13" s="24"/>
      <c r="J13" s="24"/>
    </row>
    <row r="14" customFormat="false" ht="35.05" hidden="false" customHeight="true" outlineLevel="0" collapsed="false">
      <c r="A14" s="22" t="s">
        <v>262</v>
      </c>
      <c r="B14" s="22"/>
      <c r="C14" s="22"/>
      <c r="D14" s="22" t="s">
        <v>472</v>
      </c>
      <c r="E14" s="22"/>
      <c r="F14" s="22"/>
      <c r="G14" s="22"/>
      <c r="H14" s="22"/>
      <c r="I14" s="22"/>
      <c r="J14" s="22"/>
    </row>
    <row r="16" customFormat="false" ht="15" hidden="false" customHeight="false" outlineLevel="0" collapsed="false">
      <c r="A16" s="25" t="s">
        <v>264</v>
      </c>
    </row>
    <row r="17" customFormat="false" ht="22.35" hidden="false" customHeight="true" outlineLevel="0" collapsed="false">
      <c r="A17" s="26" t="s">
        <v>265</v>
      </c>
      <c r="B17" s="26" t="s">
        <v>266</v>
      </c>
      <c r="C17" s="26" t="s">
        <v>267</v>
      </c>
      <c r="D17" s="26" t="s">
        <v>268</v>
      </c>
      <c r="E17" s="26" t="s">
        <v>269</v>
      </c>
      <c r="F17" s="26" t="s">
        <v>270</v>
      </c>
      <c r="G17" s="26" t="s">
        <v>271</v>
      </c>
      <c r="H17" s="26"/>
      <c r="I17" s="26"/>
      <c r="J17" s="26"/>
    </row>
    <row r="18" customFormat="false" ht="23.85" hidden="false" customHeight="true" outlineLevel="0" collapsed="false">
      <c r="A18" s="27" t="s">
        <v>473</v>
      </c>
      <c r="B18" s="28" t="s">
        <v>404</v>
      </c>
      <c r="C18" s="28" t="s">
        <v>474</v>
      </c>
      <c r="D18" s="29" t="n">
        <v>5704</v>
      </c>
      <c r="E18" s="30" t="n">
        <f aca="false">IF(D18="","",D18*12)</f>
        <v>68448</v>
      </c>
      <c r="F18" s="31" t="n">
        <v>4.7</v>
      </c>
      <c r="G18" s="32" t="s">
        <v>475</v>
      </c>
      <c r="H18" s="32"/>
      <c r="I18" s="32"/>
      <c r="J18" s="32"/>
    </row>
    <row r="19" customFormat="false" ht="23.85" hidden="false" customHeight="true" outlineLevel="0" collapsed="false">
      <c r="A19" s="27" t="s">
        <v>476</v>
      </c>
      <c r="B19" s="28" t="s">
        <v>477</v>
      </c>
      <c r="C19" s="28" t="s">
        <v>478</v>
      </c>
      <c r="D19" s="80" t="n">
        <v>6274.4</v>
      </c>
      <c r="E19" s="30" t="n">
        <f aca="false">IF(D19="","",D19*12)</f>
        <v>75292.8</v>
      </c>
      <c r="F19" s="31" t="n">
        <v>5</v>
      </c>
      <c r="G19" s="32" t="s">
        <v>479</v>
      </c>
      <c r="H19" s="32"/>
      <c r="I19" s="32"/>
      <c r="J19" s="32"/>
    </row>
    <row r="20" customFormat="false" ht="23.85" hidden="false" customHeight="true" outlineLevel="0" collapsed="false">
      <c r="A20" s="27" t="s">
        <v>480</v>
      </c>
      <c r="B20" s="28" t="s">
        <v>481</v>
      </c>
      <c r="C20" s="28" t="s">
        <v>482</v>
      </c>
      <c r="D20" s="80" t="n">
        <v>6901.84</v>
      </c>
      <c r="E20" s="30" t="n">
        <f aca="false">IF(D20="","",D20*12)</f>
        <v>82822.08</v>
      </c>
      <c r="F20" s="31" t="n">
        <v>0.3</v>
      </c>
      <c r="G20" s="32" t="s">
        <v>479</v>
      </c>
      <c r="H20" s="32"/>
      <c r="I20" s="32"/>
      <c r="J20" s="32"/>
    </row>
    <row r="21" customFormat="false" ht="15" hidden="false" customHeight="false" outlineLevel="0" collapsed="false">
      <c r="A21" s="34" t="s">
        <v>284</v>
      </c>
      <c r="B21" s="34"/>
      <c r="C21" s="34"/>
      <c r="D21" s="34"/>
      <c r="E21" s="35" t="n">
        <f aca="false">IF(SUMPRODUCT(E18:E20,F18:F20)=0,"",SUMPRODUCT(E18:E20,F18:F20))</f>
        <v>723016.224</v>
      </c>
      <c r="F21" s="36"/>
      <c r="G21" s="36"/>
      <c r="H21" s="36"/>
      <c r="I21" s="36"/>
      <c r="J21" s="36"/>
    </row>
    <row r="22" customFormat="false" ht="15" hidden="false" customHeight="false" outlineLevel="0" collapsed="false">
      <c r="A22" s="81" t="s">
        <v>483</v>
      </c>
      <c r="B22" s="81"/>
      <c r="C22" s="81"/>
      <c r="D22" s="81"/>
      <c r="E22" s="81"/>
      <c r="F22" s="81"/>
      <c r="G22" s="81"/>
      <c r="H22" s="81"/>
      <c r="I22" s="81"/>
      <c r="J22" s="81"/>
    </row>
    <row r="24" customFormat="false" ht="15" hidden="false" customHeight="false" outlineLevel="0" collapsed="false">
      <c r="A24" s="25" t="s">
        <v>286</v>
      </c>
    </row>
    <row r="25" customFormat="false" ht="15" hidden="false" customHeight="true" outlineLevel="0" collapsed="false">
      <c r="A25" s="22" t="s">
        <v>287</v>
      </c>
      <c r="B25" s="22"/>
      <c r="C25" s="22"/>
      <c r="D25" s="35" t="n">
        <v>68448</v>
      </c>
      <c r="E25" s="36"/>
      <c r="F25" s="36"/>
      <c r="G25" s="36"/>
      <c r="H25" s="36"/>
      <c r="I25" s="36"/>
      <c r="J25" s="36"/>
    </row>
    <row r="26" customFormat="false" ht="15" hidden="false" customHeight="true" outlineLevel="0" collapsed="false">
      <c r="A26" s="22" t="s">
        <v>288</v>
      </c>
      <c r="B26" s="22"/>
      <c r="C26" s="22"/>
      <c r="D26" s="38" t="n">
        <v>0.0307802169832617</v>
      </c>
      <c r="E26" s="39" t="s">
        <v>289</v>
      </c>
      <c r="F26" s="39"/>
      <c r="G26" s="39"/>
      <c r="H26" s="39"/>
      <c r="I26" s="39"/>
      <c r="J26" s="39"/>
    </row>
    <row r="27" customFormat="false" ht="15" hidden="false" customHeight="true" outlineLevel="0" collapsed="false">
      <c r="A27" s="22" t="s">
        <v>484</v>
      </c>
      <c r="B27" s="22"/>
      <c r="C27" s="22"/>
      <c r="D27" s="35" t="n">
        <v>15850.85</v>
      </c>
      <c r="E27" s="39" t="s">
        <v>291</v>
      </c>
      <c r="F27" s="39"/>
      <c r="G27" s="39"/>
      <c r="H27" s="39"/>
      <c r="I27" s="39"/>
      <c r="J27" s="39"/>
    </row>
    <row r="28" customFormat="false" ht="15" hidden="false" customHeight="true" outlineLevel="0" collapsed="false">
      <c r="A28" s="22" t="s">
        <v>292</v>
      </c>
      <c r="B28" s="22"/>
      <c r="C28" s="22"/>
      <c r="D28" s="35" t="n">
        <v>0</v>
      </c>
      <c r="E28" s="36"/>
      <c r="F28" s="36"/>
      <c r="G28" s="36"/>
      <c r="H28" s="36"/>
      <c r="I28" s="36"/>
      <c r="J28" s="36"/>
    </row>
    <row r="29" customFormat="false" ht="15" hidden="false" customHeight="true" outlineLevel="0" collapsed="false">
      <c r="A29" s="22" t="s">
        <v>293</v>
      </c>
      <c r="B29" s="22"/>
      <c r="C29" s="22"/>
      <c r="D29" s="35" t="n">
        <v>84298.85</v>
      </c>
      <c r="E29" s="36"/>
      <c r="F29" s="36"/>
      <c r="G29" s="36"/>
      <c r="H29" s="36"/>
      <c r="I29" s="36"/>
      <c r="J29" s="36"/>
    </row>
    <row r="30" customFormat="false" ht="15" hidden="false" customHeight="true" outlineLevel="0" collapsed="false">
      <c r="A30" s="22" t="s">
        <v>294</v>
      </c>
      <c r="B30" s="22"/>
      <c r="C30" s="22"/>
      <c r="D30" s="38" t="n">
        <v>0.037908147709786</v>
      </c>
      <c r="E30" s="39" t="s">
        <v>295</v>
      </c>
      <c r="F30" s="39"/>
      <c r="G30" s="39"/>
      <c r="H30" s="39"/>
      <c r="I30" s="39"/>
      <c r="J30" s="39"/>
    </row>
    <row r="31" customFormat="false" ht="27.75" hidden="false" customHeight="true" outlineLevel="0" collapsed="false">
      <c r="A31" s="40" t="s">
        <v>485</v>
      </c>
      <c r="B31" s="40"/>
      <c r="C31" s="40"/>
      <c r="D31" s="40"/>
      <c r="E31" s="40"/>
      <c r="F31" s="40"/>
      <c r="G31" s="40"/>
      <c r="H31" s="40"/>
      <c r="I31" s="40"/>
      <c r="J31" s="40"/>
    </row>
    <row r="32" customFormat="false" ht="15" hidden="false" customHeight="false" outlineLevel="0" collapsed="false">
      <c r="A32" s="41" t="s">
        <v>486</v>
      </c>
      <c r="B32" s="41"/>
      <c r="C32" s="41"/>
      <c r="D32" s="41"/>
      <c r="E32" s="41"/>
      <c r="F32" s="41"/>
      <c r="G32" s="41"/>
      <c r="H32" s="41"/>
      <c r="I32" s="41"/>
      <c r="J32" s="41"/>
    </row>
    <row r="34" customFormat="false" ht="15" hidden="false" customHeight="false" outlineLevel="0" collapsed="false">
      <c r="A34" s="25" t="s">
        <v>298</v>
      </c>
    </row>
    <row r="35" customFormat="false" ht="15" hidden="false" customHeight="true" outlineLevel="0" collapsed="false">
      <c r="A35" s="22" t="s">
        <v>299</v>
      </c>
      <c r="B35" s="22"/>
      <c r="C35" s="22"/>
      <c r="D35" s="42" t="n">
        <v>0</v>
      </c>
      <c r="E35" s="43" t="s">
        <v>300</v>
      </c>
      <c r="F35" s="43"/>
      <c r="G35" s="43"/>
      <c r="H35" s="43"/>
      <c r="I35" s="43"/>
      <c r="J35" s="43"/>
    </row>
    <row r="36" customFormat="false" ht="15" hidden="false" customHeight="true" outlineLevel="0" collapsed="false">
      <c r="A36" s="22" t="s">
        <v>301</v>
      </c>
      <c r="B36" s="22"/>
      <c r="C36" s="22"/>
      <c r="D36" s="34" t="s">
        <v>302</v>
      </c>
      <c r="E36" s="43" t="s">
        <v>303</v>
      </c>
      <c r="F36" s="43"/>
      <c r="G36" s="43"/>
      <c r="H36" s="43"/>
      <c r="I36" s="43"/>
      <c r="J36" s="43"/>
    </row>
    <row r="37" customFormat="false" ht="15" hidden="false" customHeight="true" outlineLevel="0" collapsed="false">
      <c r="A37" s="22" t="s">
        <v>304</v>
      </c>
      <c r="B37" s="22"/>
      <c r="C37" s="22"/>
      <c r="D37" s="44"/>
      <c r="E37" s="43" t="s">
        <v>305</v>
      </c>
      <c r="F37" s="43"/>
      <c r="G37" s="43"/>
      <c r="H37" s="43"/>
      <c r="I37" s="43"/>
      <c r="J37" s="43"/>
    </row>
    <row r="38" customFormat="false" ht="23.85" hidden="false" customHeight="true" outlineLevel="0" collapsed="false">
      <c r="A38" s="22" t="s">
        <v>306</v>
      </c>
      <c r="B38" s="22"/>
      <c r="C38" s="22"/>
      <c r="D38" s="45" t="str">
        <f aca="false">IF(OR($D$35="",E18=""),"",IF($D$35=0,"— (no % rent)",E18/$D$35))</f>
        <v>— (no % rent)</v>
      </c>
      <c r="E38" s="43" t="s">
        <v>307</v>
      </c>
      <c r="F38" s="43"/>
      <c r="G38" s="43"/>
      <c r="H38" s="43"/>
      <c r="I38" s="43"/>
      <c r="J38" s="43"/>
    </row>
    <row r="39" customFormat="false" ht="23.85" hidden="false" customHeight="true" outlineLevel="0" collapsed="false">
      <c r="A39" s="22" t="s">
        <v>308</v>
      </c>
      <c r="B39" s="22"/>
      <c r="C39" s="22"/>
      <c r="D39" s="45" t="str">
        <f aca="false">IF($D$35="","",IF($D$35=0,"— (no % rent)",IF($D$37&lt;&gt;"",$D$37,IF(E18="","",E18/$D$35))))</f>
        <v>— (no % rent)</v>
      </c>
      <c r="E39" s="36"/>
      <c r="F39" s="36"/>
      <c r="G39" s="36"/>
      <c r="H39" s="36"/>
      <c r="I39" s="36"/>
      <c r="J39" s="36"/>
    </row>
    <row r="40" customFormat="false" ht="15" hidden="false" customHeight="true" outlineLevel="0" collapsed="false">
      <c r="A40" s="22" t="s">
        <v>309</v>
      </c>
      <c r="B40" s="22"/>
      <c r="C40" s="22"/>
      <c r="D40" s="45" t="n">
        <f aca="false">IF(OR($D$35="",D13=""),"",IF($D$35=0,0,IF($D$39="","",MAX(0,D13-$D$39)*$D$35)))</f>
        <v>0</v>
      </c>
      <c r="E40" s="36"/>
      <c r="F40" s="36"/>
      <c r="G40" s="36"/>
      <c r="H40" s="36"/>
      <c r="I40" s="36"/>
      <c r="J40" s="36"/>
    </row>
    <row r="41" customFormat="false" ht="15" hidden="false" customHeight="true" outlineLevel="0" collapsed="false">
      <c r="A41" s="22" t="s">
        <v>310</v>
      </c>
      <c r="B41" s="22"/>
      <c r="C41" s="22"/>
      <c r="D41" s="45" t="n">
        <f aca="false">IF(OR(D40="",E18=""),"",E18+D40)</f>
        <v>68448</v>
      </c>
      <c r="E41" s="36"/>
      <c r="F41" s="36"/>
      <c r="G41" s="36"/>
      <c r="H41" s="36"/>
      <c r="I41" s="36"/>
      <c r="J41" s="36"/>
    </row>
    <row r="42" customFormat="false" ht="15" hidden="false" customHeight="true" outlineLevel="0" collapsed="false">
      <c r="A42" s="22" t="s">
        <v>311</v>
      </c>
      <c r="B42" s="22"/>
      <c r="C42" s="22"/>
      <c r="D42" s="46" t="n">
        <f aca="false">IF(OR(D41="",D13=""),"",D41/D13)</f>
        <v>0.0307802169832617</v>
      </c>
      <c r="E42" s="36"/>
      <c r="F42" s="36"/>
      <c r="G42" s="36"/>
      <c r="H42" s="36"/>
      <c r="I42" s="36"/>
      <c r="J42" s="36"/>
    </row>
    <row r="44" customFormat="false" ht="15" hidden="false" customHeight="false" outlineLevel="0" collapsed="false">
      <c r="A44" s="25" t="s">
        <v>312</v>
      </c>
    </row>
    <row r="45" customFormat="false" ht="22.35" hidden="false" customHeight="false" outlineLevel="0" collapsed="false">
      <c r="A45" s="26" t="s">
        <v>313</v>
      </c>
      <c r="B45" s="26" t="s">
        <v>314</v>
      </c>
      <c r="C45" s="26" t="s">
        <v>315</v>
      </c>
      <c r="D45" s="26" t="s">
        <v>316</v>
      </c>
      <c r="E45" s="26" t="s">
        <v>317</v>
      </c>
      <c r="F45" s="26" t="s">
        <v>318</v>
      </c>
      <c r="G45" s="26" t="s">
        <v>319</v>
      </c>
      <c r="H45" s="26" t="s">
        <v>269</v>
      </c>
      <c r="I45" s="26" t="s">
        <v>320</v>
      </c>
      <c r="J45" s="26" t="s">
        <v>321</v>
      </c>
    </row>
    <row r="46" customFormat="false" ht="22.35" hidden="false" customHeight="false" outlineLevel="0" collapsed="false">
      <c r="A46" s="47" t="s">
        <v>189</v>
      </c>
      <c r="B46" s="47" t="s">
        <v>487</v>
      </c>
      <c r="C46" s="47" t="s">
        <v>488</v>
      </c>
      <c r="D46" s="47" t="s">
        <v>489</v>
      </c>
      <c r="E46" s="48"/>
      <c r="F46" s="47" t="s">
        <v>490</v>
      </c>
      <c r="G46" s="47" t="s">
        <v>327</v>
      </c>
      <c r="H46" s="49" t="n">
        <v>350000</v>
      </c>
      <c r="I46" s="47" t="s">
        <v>334</v>
      </c>
      <c r="J46" s="47" t="s">
        <v>491</v>
      </c>
    </row>
    <row r="47" customFormat="false" ht="22.35" hidden="false" customHeight="false" outlineLevel="0" collapsed="false">
      <c r="A47" s="47" t="s">
        <v>492</v>
      </c>
      <c r="B47" s="47" t="s">
        <v>493</v>
      </c>
      <c r="C47" s="47" t="s">
        <v>494</v>
      </c>
      <c r="D47" s="47" t="s">
        <v>495</v>
      </c>
      <c r="E47" s="48"/>
      <c r="F47" s="47" t="s">
        <v>496</v>
      </c>
      <c r="G47" s="47" t="s">
        <v>327</v>
      </c>
      <c r="H47" s="49" t="n">
        <v>185000</v>
      </c>
      <c r="I47" s="50" t="s">
        <v>328</v>
      </c>
      <c r="J47" s="47" t="s">
        <v>497</v>
      </c>
    </row>
    <row r="48" customFormat="false" ht="15" hidden="false" customHeight="false" outlineLevel="0" collapsed="false">
      <c r="A48" s="52" t="s">
        <v>344</v>
      </c>
      <c r="B48" s="52"/>
      <c r="C48" s="52"/>
      <c r="D48" s="52"/>
      <c r="E48" s="52"/>
      <c r="F48" s="52"/>
      <c r="G48" s="52"/>
      <c r="H48" s="53" t="n">
        <f aca="false">IF(COUNT(H46:H47)=0,"",AVERAGE(H46:H47))</f>
        <v>267500</v>
      </c>
      <c r="I48" s="52" t="str">
        <f aca="false">IF(COUNT(H46:H47)=0,"",TEXT(MIN(H46:H47),"$#,##0")&amp;" – "&amp;TEXT(MAX(H46:H47),"$#,##0"))</f>
        <v>$185,000 – $350,000</v>
      </c>
      <c r="J48" s="36"/>
    </row>
    <row r="50" customFormat="false" ht="15" hidden="false" customHeight="false" outlineLevel="0" collapsed="false">
      <c r="A50" s="25" t="s">
        <v>345</v>
      </c>
    </row>
    <row r="51" customFormat="false" ht="53.7" hidden="false" customHeight="true" outlineLevel="0" collapsed="false">
      <c r="A51" s="26" t="s">
        <v>346</v>
      </c>
      <c r="B51" s="26"/>
      <c r="C51" s="26"/>
      <c r="D51" s="26" t="s">
        <v>347</v>
      </c>
      <c r="E51" s="26" t="s">
        <v>348</v>
      </c>
      <c r="F51" s="26" t="s">
        <v>349</v>
      </c>
      <c r="G51" s="26" t="s">
        <v>350</v>
      </c>
      <c r="H51" s="54" t="s">
        <v>351</v>
      </c>
    </row>
    <row r="52" customFormat="false" ht="68.65" hidden="false" customHeight="true" outlineLevel="0" collapsed="false">
      <c r="A52" s="22" t="s">
        <v>352</v>
      </c>
      <c r="B52" s="22"/>
      <c r="C52" s="22"/>
      <c r="D52" s="55" t="s">
        <v>353</v>
      </c>
      <c r="E52" s="56"/>
      <c r="F52" s="56"/>
      <c r="G52" s="56"/>
      <c r="H52" s="56"/>
    </row>
    <row r="53" customFormat="false" ht="15" hidden="false" customHeight="true" outlineLevel="0" collapsed="false">
      <c r="A53" s="22" t="s">
        <v>354</v>
      </c>
      <c r="B53" s="22"/>
      <c r="C53" s="22"/>
      <c r="D53" s="57" t="n">
        <v>68448</v>
      </c>
      <c r="E53" s="57"/>
      <c r="F53" s="57"/>
      <c r="G53" s="57"/>
      <c r="H53" s="57"/>
    </row>
    <row r="54" customFormat="false" ht="15" hidden="false" customHeight="true" outlineLevel="0" collapsed="false">
      <c r="A54" s="22" t="s">
        <v>355</v>
      </c>
      <c r="B54" s="22"/>
      <c r="C54" s="22"/>
      <c r="D54" s="82" t="n">
        <v>0.02</v>
      </c>
      <c r="E54" s="58"/>
      <c r="F54" s="58"/>
      <c r="G54" s="58"/>
      <c r="H54" s="58"/>
    </row>
    <row r="55" customFormat="false" ht="15" hidden="false" customHeight="true" outlineLevel="0" collapsed="false">
      <c r="A55" s="22" t="s">
        <v>356</v>
      </c>
      <c r="B55" s="22"/>
      <c r="C55" s="22"/>
      <c r="D55" s="56" t="n">
        <v>5</v>
      </c>
      <c r="E55" s="56"/>
      <c r="F55" s="56"/>
      <c r="G55" s="56"/>
      <c r="H55" s="56"/>
    </row>
    <row r="56" customFormat="false" ht="15" hidden="false" customHeight="true" outlineLevel="0" collapsed="false">
      <c r="A56" s="22" t="s">
        <v>357</v>
      </c>
      <c r="B56" s="22"/>
      <c r="C56" s="22"/>
      <c r="D56" s="59" t="n">
        <v>20</v>
      </c>
      <c r="E56" s="59"/>
      <c r="F56" s="59"/>
      <c r="G56" s="59"/>
      <c r="H56" s="59"/>
    </row>
    <row r="57" customFormat="false" ht="15" hidden="false" customHeight="true" outlineLevel="0" collapsed="false">
      <c r="A57" s="22" t="s">
        <v>358</v>
      </c>
      <c r="B57" s="22"/>
      <c r="C57" s="22"/>
      <c r="D57" s="60" t="n">
        <f aca="false">IF(OR(D53="",E18=""),"",D53-E18)</f>
        <v>0</v>
      </c>
      <c r="E57" s="60" t="str">
        <f aca="false">IF(OR(E53="",E18=""),"",E53-E18)</f>
        <v/>
      </c>
      <c r="F57" s="60" t="str">
        <f aca="false">IF(OR(F53="",E18=""),"",F53-E18)</f>
        <v/>
      </c>
      <c r="G57" s="60" t="str">
        <f aca="false">IF(OR(G53="",E18=""),"",G53-E18)</f>
        <v/>
      </c>
      <c r="H57" s="60" t="str">
        <f aca="false">IF(OR(H53="",E18=""),"",H53-E18)</f>
        <v/>
      </c>
    </row>
    <row r="58" customFormat="false" ht="15" hidden="false" customHeight="true" outlineLevel="0" collapsed="false">
      <c r="A58" s="22" t="s">
        <v>359</v>
      </c>
      <c r="B58" s="22"/>
      <c r="C58" s="22"/>
      <c r="D58" s="61" t="n">
        <f aca="false">IF(OR(D53="",E18=""),"",(D53-E18)/E18)</f>
        <v>0</v>
      </c>
      <c r="E58" s="61" t="str">
        <f aca="false">IF(OR(E53="",E18=""),"",(E53-E18)/E18)</f>
        <v/>
      </c>
      <c r="F58" s="61" t="str">
        <f aca="false">IF(OR(F53="",E18=""),"",(F53-E18)/E18)</f>
        <v/>
      </c>
      <c r="G58" s="61" t="str">
        <f aca="false">IF(OR(G53="",E18=""),"",(G53-E18)/E18)</f>
        <v/>
      </c>
      <c r="H58" s="61" t="str">
        <f aca="false">IF(OR(H53="",E18=""),"",(H53-E18)/E18)</f>
        <v/>
      </c>
    </row>
    <row r="59" customFormat="false" ht="15" hidden="false" customHeight="true" outlineLevel="0" collapsed="false">
      <c r="A59" s="22" t="s">
        <v>360</v>
      </c>
      <c r="B59" s="22"/>
      <c r="C59" s="22"/>
      <c r="D59" s="62" t="n">
        <f aca="false">IF(OR(D53="",D13=""),"",D53/D13)</f>
        <v>0.0307802169832617</v>
      </c>
      <c r="E59" s="62" t="str">
        <f aca="false">IF(OR(E53="",D13=""),"",E53/D13)</f>
        <v/>
      </c>
      <c r="F59" s="62" t="str">
        <f aca="false">IF(OR(F53="",D13=""),"",F53/D13)</f>
        <v/>
      </c>
      <c r="G59" s="62" t="str">
        <f aca="false">IF(OR(G53="",D13=""),"",G53/D13)</f>
        <v/>
      </c>
      <c r="H59" s="62" t="str">
        <f aca="false">IF(OR(H53="",D13=""),"",H53/D13)</f>
        <v/>
      </c>
    </row>
    <row r="60" customFormat="false" ht="15" hidden="false" customHeight="true" outlineLevel="0" collapsed="false">
      <c r="A60" s="22" t="s">
        <v>361</v>
      </c>
      <c r="B60" s="22"/>
      <c r="C60" s="22"/>
      <c r="D60" s="61" t="n">
        <f aca="false">IF(OR(D53="",H48=""),"",(D53-H48)/H48)</f>
        <v>-0.744119626168224</v>
      </c>
      <c r="E60" s="61" t="str">
        <f aca="false">IF(OR(E53="",H48=""),"",(E53-H48)/H48)</f>
        <v/>
      </c>
      <c r="F60" s="61" t="str">
        <f aca="false">IF(OR(F53="",H48=""),"",(F53-H48)/H48)</f>
        <v/>
      </c>
      <c r="G60" s="61" t="str">
        <f aca="false">IF(OR(G53="",H48=""),"",(G53-H48)/H48)</f>
        <v/>
      </c>
      <c r="H60" s="61" t="str">
        <f aca="false">IF(OR(H53="",H48=""),"",(H53-H48)/H48)</f>
        <v/>
      </c>
    </row>
    <row r="61" customFormat="false" ht="15" hidden="false" customHeight="true" outlineLevel="0" collapsed="false">
      <c r="A61" s="22" t="s">
        <v>362</v>
      </c>
      <c r="B61" s="22"/>
      <c r="C61" s="22"/>
      <c r="D61" s="63" t="n">
        <f aca="true">IF(D53="","",SUMPRODUCT(D53*(1+IF(D54="",0,D54))^ROUNDDOWN((ROW(INDIRECT("1:10"))-1)/IF(D55="",5,D55),0)))</f>
        <v>691324.8</v>
      </c>
      <c r="E61" s="63" t="str">
        <f aca="true">IF(E53="","",SUMPRODUCT(E53*(1+IF(E54="",0,E54))^ROUNDDOWN((ROW(INDIRECT("1:10"))-1)/IF(E55="",5,E55),0)))</f>
        <v/>
      </c>
      <c r="F61" s="63" t="str">
        <f aca="true">IF(F53="","",SUMPRODUCT(F53*(1+IF(F54="",0,F54))^ROUNDDOWN((ROW(INDIRECT("1:10"))-1)/IF(F55="",5,F55),0)))</f>
        <v/>
      </c>
      <c r="G61" s="63" t="str">
        <f aca="true">IF(G53="","",SUMPRODUCT(G53*(1+IF(G54="",0,G54))^ROUNDDOWN((ROW(INDIRECT("1:10"))-1)/IF(G55="",5,G55),0)))</f>
        <v/>
      </c>
      <c r="H61" s="63" t="str">
        <f aca="true">IF(H53="","",SUMPRODUCT(H53*(1+IF(H54="",0,H54))^ROUNDDOWN((ROW(INDIRECT("1:10"))-1)/IF(H55="",5,H55),0)))</f>
        <v/>
      </c>
    </row>
    <row r="62" customFormat="false" ht="15" hidden="false" customHeight="true" outlineLevel="0" collapsed="false">
      <c r="A62" s="22" t="s">
        <v>363</v>
      </c>
      <c r="B62" s="22"/>
      <c r="C62" s="22"/>
      <c r="D62" s="60" t="n">
        <f aca="false">IF(OR(D61="",E21=""),"",D61-E21)</f>
        <v>-31691.4239999999</v>
      </c>
      <c r="E62" s="60" t="str">
        <f aca="false">IF(OR(E61="",E21=""),"",E61-E21)</f>
        <v/>
      </c>
      <c r="F62" s="60" t="str">
        <f aca="false">IF(OR(F61="",E21=""),"",F61-E21)</f>
        <v/>
      </c>
      <c r="G62" s="60" t="str">
        <f aca="false">IF(OR(G61="",E21=""),"",G61-E21)</f>
        <v/>
      </c>
      <c r="H62" s="60" t="str">
        <f aca="false">IF(OR(H61="",E21=""),"",H61-E21)</f>
        <v/>
      </c>
    </row>
    <row r="63" customFormat="false" ht="23.85" hidden="false" customHeight="true" outlineLevel="0" collapsed="false">
      <c r="A63" s="22" t="s">
        <v>364</v>
      </c>
      <c r="B63" s="22"/>
      <c r="C63" s="22"/>
      <c r="D63" s="58"/>
      <c r="E63" s="58"/>
      <c r="F63" s="58"/>
      <c r="G63" s="58"/>
      <c r="H63" s="58"/>
    </row>
    <row r="64" customFormat="false" ht="23.85" hidden="false" customHeight="true" outlineLevel="0" collapsed="false">
      <c r="A64" s="22" t="s">
        <v>365</v>
      </c>
      <c r="B64" s="22"/>
      <c r="C64" s="22"/>
      <c r="D64" s="57"/>
      <c r="E64" s="57"/>
      <c r="F64" s="57"/>
      <c r="G64" s="57"/>
      <c r="H64" s="57"/>
    </row>
    <row r="65" customFormat="false" ht="15" hidden="false" customHeight="true" outlineLevel="0" collapsed="false">
      <c r="A65" s="22" t="s">
        <v>366</v>
      </c>
      <c r="B65" s="22"/>
      <c r="C65" s="22"/>
      <c r="D65" s="63" t="str">
        <f aca="false">IF(OR(D53="",AND(D63="",$D$35="")),"",IF(IF(D63="",IF($D$35="",0,$D$35),D63)=0,"— (% rent removed)",IF(D64&lt;&gt;"",D64,IF($D$37&lt;&gt;"",$D$37,D53/IF(D63="",IF($D$35="",0,$D$35),D63)))))</f>
        <v>— (% rent removed)</v>
      </c>
      <c r="E65" s="63" t="str">
        <f aca="false">IF(OR(E53="",AND(E63="",$D$35="")),"",IF(IF(E63="",IF($D$35="",0,$D$35),E63)=0,"— (% rent removed)",IF(E64&lt;&gt;"",E64,IF($D$37&lt;&gt;"",$D$37,E53/IF(E63="",IF($D$35="",0,$D$35),E63)))))</f>
        <v/>
      </c>
      <c r="F65" s="63" t="str">
        <f aca="false">IF(OR(F53="",AND(F63="",$D$35="")),"",IF(IF(F63="",IF($D$35="",0,$D$35),F63)=0,"— (% rent removed)",IF(F64&lt;&gt;"",F64,IF($D$37&lt;&gt;"",$D$37,F53/IF(F63="",IF($D$35="",0,$D$35),F63)))))</f>
        <v/>
      </c>
      <c r="G65" s="63" t="str">
        <f aca="false">IF(OR(G53="",AND(G63="",$D$35="")),"",IF(IF(G63="",IF($D$35="",0,$D$35),G63)=0,"— (% rent removed)",IF(G64&lt;&gt;"",G64,IF($D$37&lt;&gt;"",$D$37,G53/IF(G63="",IF($D$35="",0,$D$35),G63)))))</f>
        <v/>
      </c>
      <c r="H65" s="63" t="str">
        <f aca="false">IF(OR(H53="",AND(H63="",$D$35="")),"",IF(IF(H63="",IF($D$35="",0,$D$35),H63)=0,"— (% rent removed)",IF(H64&lt;&gt;"",H64,IF($D$37&lt;&gt;"",$D$37,H53/IF(H63="",IF($D$35="",0,$D$35),H63)))))</f>
        <v/>
      </c>
    </row>
    <row r="66" customFormat="false" ht="15" hidden="false" customHeight="true" outlineLevel="0" collapsed="false">
      <c r="A66" s="22" t="s">
        <v>367</v>
      </c>
      <c r="B66" s="22"/>
      <c r="C66" s="22"/>
      <c r="D66" s="63" t="n">
        <f aca="false">IF(OR(D53="",AND(D63="",$D$35=""),D13=""),"",IF(IF(D63="",IF($D$35="",0,$D$35),D63)=0,0,MAX(0,D13-D65)*IF(D63="",IF($D$35="",0,$D$35),D63)))</f>
        <v>0</v>
      </c>
      <c r="E66" s="63" t="str">
        <f aca="false">IF(OR(E53="",AND(E63="",$D$35=""),D13=""),"",IF(IF(E63="",IF($D$35="",0,$D$35),E63)=0,0,MAX(0,D13-E65)*IF(E63="",IF($D$35="",0,$D$35),E63)))</f>
        <v/>
      </c>
      <c r="F66" s="63" t="str">
        <f aca="false">IF(OR(F53="",AND(F63="",$D$35=""),D13=""),"",IF(IF(F63="",IF($D$35="",0,$D$35),F63)=0,0,MAX(0,D13-F65)*IF(F63="",IF($D$35="",0,$D$35),F63)))</f>
        <v/>
      </c>
      <c r="G66" s="63" t="str">
        <f aca="false">IF(OR(G53="",AND(G63="",$D$35=""),D13=""),"",IF(IF(G63="",IF($D$35="",0,$D$35),G63)=0,0,MAX(0,D13-G65)*IF(G63="",IF($D$35="",0,$D$35),G63)))</f>
        <v/>
      </c>
      <c r="H66" s="63" t="str">
        <f aca="false">IF(OR(H53="",AND(H63="",$D$35=""),D13=""),"",IF(IF(H63="",IF($D$35="",0,$D$35),H63)=0,0,MAX(0,D13-H65)*IF(H63="",IF($D$35="",0,$D$35),H63)))</f>
        <v/>
      </c>
    </row>
    <row r="67" customFormat="false" ht="15" hidden="false" customHeight="true" outlineLevel="0" collapsed="false">
      <c r="A67" s="22" t="s">
        <v>368</v>
      </c>
      <c r="B67" s="22"/>
      <c r="C67" s="22"/>
      <c r="D67" s="63" t="n">
        <f aca="false">IF(OR(D53="",D66=""),"",D53+D66)</f>
        <v>68448</v>
      </c>
      <c r="E67" s="63" t="str">
        <f aca="false">IF(OR(E53="",E66=""),"",E53+E66)</f>
        <v/>
      </c>
      <c r="F67" s="63" t="str">
        <f aca="false">IF(OR(F53="",F66=""),"",F53+F66)</f>
        <v/>
      </c>
      <c r="G67" s="63" t="str">
        <f aca="false">IF(OR(G53="",G66=""),"",G53+G66)</f>
        <v/>
      </c>
      <c r="H67" s="63" t="str">
        <f aca="false">IF(OR(H53="",H66=""),"",H53+H66)</f>
        <v/>
      </c>
    </row>
    <row r="68" customFormat="false" ht="15" hidden="false" customHeight="true" outlineLevel="0" collapsed="false">
      <c r="A68" s="22" t="s">
        <v>369</v>
      </c>
      <c r="B68" s="22"/>
      <c r="C68" s="22"/>
      <c r="D68" s="62" t="n">
        <f aca="false">IF(OR(D67="",D13=""),"",D67/D13)</f>
        <v>0.0307802169832617</v>
      </c>
      <c r="E68" s="62" t="str">
        <f aca="false">IF(OR(E67="",D13=""),"",E67/D13)</f>
        <v/>
      </c>
      <c r="F68" s="62" t="str">
        <f aca="false">IF(OR(F67="",D13=""),"",F67/D13)</f>
        <v/>
      </c>
      <c r="G68" s="62" t="str">
        <f aca="false">IF(OR(G67="",D13=""),"",G67/D13)</f>
        <v/>
      </c>
      <c r="H68" s="62" t="str">
        <f aca="false">IF(OR(H67="",D13=""),"",H67/D13)</f>
        <v/>
      </c>
    </row>
    <row r="69" customFormat="false" ht="23.85" hidden="false" customHeight="true" outlineLevel="0" collapsed="false">
      <c r="A69" s="22" t="s">
        <v>370</v>
      </c>
      <c r="B69" s="22"/>
      <c r="C69" s="22"/>
      <c r="D69" s="64" t="n">
        <f aca="false">IF(D67="","",(534796.61-D67)/2216930.41)</f>
        <v>0.210357802796345</v>
      </c>
      <c r="E69" s="64" t="str">
        <f aca="false">IF(E67="","",(534796.61-E67)/2216930.41)</f>
        <v/>
      </c>
      <c r="F69" s="64" t="str">
        <f aca="false">IF(F67="","",(534796.61-F67)/2216930.41)</f>
        <v/>
      </c>
      <c r="G69" s="64" t="str">
        <f aca="false">IF(G67="","",(534796.61-G67)/2216930.41)</f>
        <v/>
      </c>
      <c r="H69" s="64" t="str">
        <f aca="false">IF(H67="","",(534796.61-H67)/2216930.41)</f>
        <v/>
      </c>
    </row>
    <row r="70" customFormat="false" ht="15" hidden="false" customHeight="true" outlineLevel="0" collapsed="false">
      <c r="A70" s="22" t="s">
        <v>371</v>
      </c>
      <c r="B70" s="22"/>
      <c r="C70" s="22"/>
      <c r="D70" s="63" t="n">
        <f aca="true">IF(OR(D53="",AND(D63="",$D$35=""),D13=""),"",IF(IF(D63="",IF($D$35="",0,$D$35),D63)=0,0,SUMPRODUCT(((D13*1.02^(ROW(INDIRECT("1:10"))-1))-(IF(D64&lt;&gt;"",D64,IF($D$37&lt;&gt;"",$D$37,(D53*(1+IF(D54="",0,D54))^ROUNDDOWN((ROW(INDIRECT("1:10"))-1)/IF(D55="",5,D55),0))/IF(D63="",IF($D$35="",0,$D$35),D63))))&gt;0)*((D13*1.02^(ROW(INDIRECT("1:10"))-1))-(IF(D64&lt;&gt;"",D64,IF($D$37&lt;&gt;"",$D$37,(D53*(1+IF(D54="",0,D54))^ROUNDDOWN((ROW(INDIRECT("1:10"))-1)/IF(D55="",5,D55),0))/IF(D63="",IF($D$35="",0,$D$35),D63))))))*IF(D63="",IF($D$35="",0,$D$35),D63)))</f>
        <v>0</v>
      </c>
      <c r="E70" s="63" t="str">
        <f aca="true">IF(OR(E53="",AND(E63="",$D$35=""),D13=""),"",IF(IF(E63="",IF($D$35="",0,$D$35),E63)=0,0,SUMPRODUCT(((D13*1.02^(ROW(INDIRECT("1:10"))-1))-(IF(E64&lt;&gt;"",E64,IF($D$37&lt;&gt;"",$D$37,(E53*(1+IF(E54="",0,E54))^ROUNDDOWN((ROW(INDIRECT("1:10"))-1)/IF(E55="",5,E55),0))/IF(E63="",IF($D$35="",0,$D$35),E63))))&gt;0)*((D13*1.02^(ROW(INDIRECT("1:10"))-1))-(IF(E64&lt;&gt;"",E64,IF($D$37&lt;&gt;"",$D$37,(E53*(1+IF(E54="",0,E54))^ROUNDDOWN((ROW(INDIRECT("1:10"))-1)/IF(E55="",5,E55),0))/IF(E63="",IF($D$35="",0,$D$35),E63))))))*IF(E63="",IF($D$35="",0,$D$35),E63)))</f>
        <v/>
      </c>
      <c r="F70" s="63" t="str">
        <f aca="true">IF(OR(F53="",AND(F63="",$D$35=""),D13=""),"",IF(IF(F63="",IF($D$35="",0,$D$35),F63)=0,0,SUMPRODUCT(((D13*1.02^(ROW(INDIRECT("1:10"))-1))-(IF(F64&lt;&gt;"",F64,IF($D$37&lt;&gt;"",$D$37,(F53*(1+IF(F54="",0,F54))^ROUNDDOWN((ROW(INDIRECT("1:10"))-1)/IF(F55="",5,F55),0))/IF(F63="",IF($D$35="",0,$D$35),F63))))&gt;0)*((D13*1.02^(ROW(INDIRECT("1:10"))-1))-(IF(F64&lt;&gt;"",F64,IF($D$37&lt;&gt;"",$D$37,(F53*(1+IF(F54="",0,F54))^ROUNDDOWN((ROW(INDIRECT("1:10"))-1)/IF(F55="",5,F55),0))/IF(F63="",IF($D$35="",0,$D$35),F63))))))*IF(F63="",IF($D$35="",0,$D$35),F63)))</f>
        <v/>
      </c>
      <c r="G70" s="63" t="str">
        <f aca="true">IF(OR(G53="",AND(G63="",$D$35=""),D13=""),"",IF(IF(G63="",IF($D$35="",0,$D$35),G63)=0,0,SUMPRODUCT(((D13*1.02^(ROW(INDIRECT("1:10"))-1))-(IF(G64&lt;&gt;"",G64,IF($D$37&lt;&gt;"",$D$37,(G53*(1+IF(G54="",0,G54))^ROUNDDOWN((ROW(INDIRECT("1:10"))-1)/IF(G55="",5,G55),0))/IF(G63="",IF($D$35="",0,$D$35),G63))))&gt;0)*((D13*1.02^(ROW(INDIRECT("1:10"))-1))-(IF(G64&lt;&gt;"",G64,IF($D$37&lt;&gt;"",$D$37,(G53*(1+IF(G54="",0,G54))^ROUNDDOWN((ROW(INDIRECT("1:10"))-1)/IF(G55="",5,G55),0))/IF(G63="",IF($D$35="",0,$D$35),G63))))))*IF(G63="",IF($D$35="",0,$D$35),G63)))</f>
        <v/>
      </c>
      <c r="H70" s="63" t="str">
        <f aca="true">IF(OR(H53="",AND(H63="",$D$35=""),D13=""),"",IF(IF(H63="",IF($D$35="",0,$D$35),H63)=0,0,SUMPRODUCT(((D13*1.02^(ROW(INDIRECT("1:10"))-1))-(IF(H64&lt;&gt;"",H64,IF($D$37&lt;&gt;"",$D$37,(H53*(1+IF(H54="",0,H54))^ROUNDDOWN((ROW(INDIRECT("1:10"))-1)/IF(H55="",5,H55),0))/IF(H63="",IF($D$35="",0,$D$35),H63))))&gt;0)*((D13*1.02^(ROW(INDIRECT("1:10"))-1))-(IF(H64&lt;&gt;"",H64,IF($D$37&lt;&gt;"",$D$37,(H53*(1+IF(H54="",0,H54))^ROUNDDOWN((ROW(INDIRECT("1:10"))-1)/IF(H55="",5,H55),0))/IF(H63="",IF($D$35="",0,$D$35),H63))))))*IF(H63="",IF($D$35="",0,$D$35),H63)))</f>
        <v/>
      </c>
    </row>
    <row r="71" customFormat="false" ht="15" hidden="false" customHeight="true" outlineLevel="0" collapsed="false">
      <c r="A71" s="22" t="s">
        <v>372</v>
      </c>
      <c r="B71" s="22"/>
      <c r="C71" s="22"/>
      <c r="D71" s="63" t="n">
        <f aca="false">IF(OR(D61="",D70=""),"",D61+D70)</f>
        <v>691324.8</v>
      </c>
      <c r="E71" s="63" t="str">
        <f aca="false">IF(OR(E61="",E70=""),"",E61+E70)</f>
        <v/>
      </c>
      <c r="F71" s="63" t="str">
        <f aca="false">IF(OR(F61="",F70=""),"",F61+F70)</f>
        <v/>
      </c>
      <c r="G71" s="63" t="str">
        <f aca="false">IF(OR(G61="",G70=""),"",G61+G70)</f>
        <v/>
      </c>
      <c r="H71" s="63" t="str">
        <f aca="false">IF(OR(H61="",H70=""),"",H61+H70)</f>
        <v/>
      </c>
    </row>
    <row r="72" customFormat="false" ht="23.85" hidden="false" customHeight="true" outlineLevel="0" collapsed="false">
      <c r="A72" s="22" t="s">
        <v>373</v>
      </c>
      <c r="B72" s="22"/>
      <c r="C72" s="22"/>
      <c r="D72" s="65" t="n">
        <f aca="true">IF(D53="","",SUMPRODUCT(D53*(1+IF(D54="",0,D54))^ROUNDDOWN((ROW(INDIRECT("1:"&amp;IF(D56="",10,D56)))-1)/IF(D55="",5,D55),0))+IF(OR(D13="",IF(D63="",IF($D$35="",0,$D$35),D63)=0),0,SUMPRODUCT(((D13*1.02^(ROW(INDIRECT("1:"&amp;IF(D56="",10,D56)))-1))-(IF(D64&lt;&gt;"",D64,IF($D$37&lt;&gt;"",$D$37,(D53*(1+IF(D54="",0,D54))^ROUNDDOWN((ROW(INDIRECT("1:"&amp;IF(D56="",10,D56)))-1)/IF(D55="",5,D55),0))/IF(D63="",IF($D$35="",0,$D$35),D63))))&gt;0)*((D13*1.02^(ROW(INDIRECT("1:"&amp;IF(D56="",10,D56)))-1))-(IF(D64&lt;&gt;"",D64,IF($D$37&lt;&gt;"",$D$37,(D53*(1+IF(D54="",0,D54))^ROUNDDOWN((ROW(INDIRECT("1:"&amp;IF(D56="",10,D56)))-1)/IF(D55="",5,D55),0))/IF(D63="",IF($D$35="",0,$D$35),D63))))))*IF(D63="",IF($D$35="",0,$D$35),D63)))</f>
        <v>1410579.12192</v>
      </c>
      <c r="E72" s="65" t="str">
        <f aca="true">IF(E53="","",SUMPRODUCT(E53*(1+IF(E54="",0,E54))^ROUNDDOWN((ROW(INDIRECT("1:"&amp;IF(E56="",10,E56)))-1)/IF(E55="",5,E55),0))+IF(OR(D13="",IF(E63="",IF($D$35="",0,$D$35),E63)=0),0,SUMPRODUCT(((D13*1.02^(ROW(INDIRECT("1:"&amp;IF(E56="",10,E56)))-1))-(IF(E64&lt;&gt;"",E64,IF($D$37&lt;&gt;"",$D$37,(E53*(1+IF(E54="",0,E54))^ROUNDDOWN((ROW(INDIRECT("1:"&amp;IF(E56="",10,E56)))-1)/IF(E55="",5,E55),0))/IF(E63="",IF($D$35="",0,$D$35),E63))))&gt;0)*((D13*1.02^(ROW(INDIRECT("1:"&amp;IF(E56="",10,E56)))-1))-(IF(E64&lt;&gt;"",E64,IF($D$37&lt;&gt;"",$D$37,(E53*(1+IF(E54="",0,E54))^ROUNDDOWN((ROW(INDIRECT("1:"&amp;IF(E56="",10,E56)))-1)/IF(E55="",5,E55),0))/IF(E63="",IF($D$35="",0,$D$35),E63))))))*IF(E63="",IF($D$35="",0,$D$35),E63)))</f>
        <v/>
      </c>
      <c r="F72" s="65" t="str">
        <f aca="true">IF(F53="","",SUMPRODUCT(F53*(1+IF(F54="",0,F54))^ROUNDDOWN((ROW(INDIRECT("1:"&amp;IF(F56="",10,F56)))-1)/IF(F55="",5,F55),0))+IF(OR(D13="",IF(F63="",IF($D$35="",0,$D$35),F63)=0),0,SUMPRODUCT(((D13*1.02^(ROW(INDIRECT("1:"&amp;IF(F56="",10,F56)))-1))-(IF(F64&lt;&gt;"",F64,IF($D$37&lt;&gt;"",$D$37,(F53*(1+IF(F54="",0,F54))^ROUNDDOWN((ROW(INDIRECT("1:"&amp;IF(F56="",10,F56)))-1)/IF(F55="",5,F55),0))/IF(F63="",IF($D$35="",0,$D$35),F63))))&gt;0)*((D13*1.02^(ROW(INDIRECT("1:"&amp;IF(F56="",10,F56)))-1))-(IF(F64&lt;&gt;"",F64,IF($D$37&lt;&gt;"",$D$37,(F53*(1+IF(F54="",0,F54))^ROUNDDOWN((ROW(INDIRECT("1:"&amp;IF(F56="",10,F56)))-1)/IF(F55="",5,F55),0))/IF(F63="",IF($D$35="",0,$D$35),F63))))))*IF(F63="",IF($D$35="",0,$D$35),F63)))</f>
        <v/>
      </c>
      <c r="G72" s="65" t="str">
        <f aca="true">IF(G53="","",SUMPRODUCT(G53*(1+IF(G54="",0,G54))^ROUNDDOWN((ROW(INDIRECT("1:"&amp;IF(G56="",10,G56)))-1)/IF(G55="",5,G55),0))+IF(OR(D13="",IF(G63="",IF($D$35="",0,$D$35),G63)=0),0,SUMPRODUCT(((D13*1.02^(ROW(INDIRECT("1:"&amp;IF(G56="",10,G56)))-1))-(IF(G64&lt;&gt;"",G64,IF($D$37&lt;&gt;"",$D$37,(G53*(1+IF(G54="",0,G54))^ROUNDDOWN((ROW(INDIRECT("1:"&amp;IF(G56="",10,G56)))-1)/IF(G55="",5,G55),0))/IF(G63="",IF($D$35="",0,$D$35),G63))))&gt;0)*((D13*1.02^(ROW(INDIRECT("1:"&amp;IF(G56="",10,G56)))-1))-(IF(G64&lt;&gt;"",G64,IF($D$37&lt;&gt;"",$D$37,(G53*(1+IF(G54="",0,G54))^ROUNDDOWN((ROW(INDIRECT("1:"&amp;IF(G56="",10,G56)))-1)/IF(G55="",5,G55),0))/IF(G63="",IF($D$35="",0,$D$35),G63))))))*IF(G63="",IF($D$35="",0,$D$35),G63)))</f>
        <v/>
      </c>
      <c r="H72" s="65" t="str">
        <f aca="true">IF(H53="","",SUMPRODUCT(H53*(1+IF(H54="",0,H54))^ROUNDDOWN((ROW(INDIRECT("1:"&amp;IF(H56="",10,H56)))-1)/IF(H55="",5,H55),0))+IF(OR(D13="",IF(H63="",IF($D$35="",0,$D$35),H63)=0),0,SUMPRODUCT(((D13*1.02^(ROW(INDIRECT("1:"&amp;IF(H56="",10,H56)))-1))-(IF(H64&lt;&gt;"",H64,IF($D$37&lt;&gt;"",$D$37,(H53*(1+IF(H54="",0,H54))^ROUNDDOWN((ROW(INDIRECT("1:"&amp;IF(H56="",10,H56)))-1)/IF(H55="",5,H55),0))/IF(H63="",IF($D$35="",0,$D$35),H63))))&gt;0)*((D13*1.02^(ROW(INDIRECT("1:"&amp;IF(H56="",10,H56)))-1))-(IF(H64&lt;&gt;"",H64,IF($D$37&lt;&gt;"",$D$37,(H53*(1+IF(H54="",0,H54))^ROUNDDOWN((ROW(INDIRECT("1:"&amp;IF(H56="",10,H56)))-1)/IF(H55="",5,H55),0))/IF(H63="",IF($D$35="",0,$D$35),H63))))))*IF(H63="",IF($D$35="",0,$D$35),H63)))</f>
        <v/>
      </c>
    </row>
    <row r="73" customFormat="false" ht="15" hidden="false" customHeight="true" outlineLevel="0" collapsed="false">
      <c r="A73" s="22" t="s">
        <v>374</v>
      </c>
      <c r="B73" s="22"/>
      <c r="C73" s="22"/>
      <c r="D73" s="62" t="n">
        <f aca="false">IF(D53="","",IF(D54="",0,(1+D54)^(5/IF(D55="",5,D55))-1))</f>
        <v>0.02</v>
      </c>
      <c r="E73" s="62" t="str">
        <f aca="false">IF(E53="","",IF(E54="",0,(1+E54)^(5/IF(E55="",5,E55))-1))</f>
        <v/>
      </c>
      <c r="F73" s="62" t="str">
        <f aca="false">IF(F53="","",IF(F54="",0,(1+F54)^(5/IF(F55="",5,F55))-1))</f>
        <v/>
      </c>
      <c r="G73" s="62" t="str">
        <f aca="false">IF(G53="","",IF(G54="",0,(1+G54)^(5/IF(G55="",5,G55))-1))</f>
        <v/>
      </c>
      <c r="H73" s="62" t="str">
        <f aca="false">IF(H53="","",IF(H54="",0,(1+H54)^(5/IF(H55="",5,H55))-1))</f>
        <v/>
      </c>
    </row>
    <row r="74" customFormat="false" ht="43.25" hidden="false" customHeight="true" outlineLevel="0" collapsed="false">
      <c r="A74" s="22" t="s">
        <v>375</v>
      </c>
      <c r="B74" s="22"/>
      <c r="C74" s="22"/>
      <c r="D74" s="66" t="str">
        <f aca="false">IF(D73="","",IF(D73&lt;=0,"REDUCTION / FLAT — ladder steps 1-2 (best)",IF(D73&lt;=0.08,"OK — within 8%/5-yr in-house authority (ladder step 3)","ABOVE 8%/5-yr — CEO SIGN-OFF REQUIRED (Rob 8/5/26)")))</f>
        <v>OK — within 8%/5-yr in-house authority (ladder step 3)</v>
      </c>
      <c r="E74" s="66" t="str">
        <f aca="false">IF(E73="","",IF(E73&lt;=0,"REDUCTION / FLAT — ladder steps 1-2 (best)",IF(E73&lt;=0.08,"OK — within 8%/5-yr in-house authority (ladder step 3)","ABOVE 8%/5-yr — CEO SIGN-OFF REQUIRED (Rob 8/5/26)")))</f>
        <v/>
      </c>
      <c r="F74" s="66" t="str">
        <f aca="false">IF(F73="","",IF(F73&lt;=0,"REDUCTION / FLAT — ladder steps 1-2 (best)",IF(F73&lt;=0.08,"OK — within 8%/5-yr in-house authority (ladder step 3)","ABOVE 8%/5-yr — CEO SIGN-OFF REQUIRED (Rob 8/5/26)")))</f>
        <v/>
      </c>
      <c r="G74" s="66" t="str">
        <f aca="false">IF(G73="","",IF(G73&lt;=0,"REDUCTION / FLAT — ladder steps 1-2 (best)",IF(G73&lt;=0.08,"OK — within 8%/5-yr in-house authority (ladder step 3)","ABOVE 8%/5-yr — CEO SIGN-OFF REQUIRED (Rob 8/5/26)")))</f>
        <v/>
      </c>
      <c r="H74" s="66" t="str">
        <f aca="false">IF(H73="","",IF(H73&lt;=0,"REDUCTION / FLAT — ladder steps 1-2 (best)",IF(H73&lt;=0.08,"OK — within 8%/5-yr in-house authority (ladder step 3)","ABOVE 8%/5-yr — CEO SIGN-OFF REQUIRED (Rob 8/5/26)")))</f>
        <v/>
      </c>
    </row>
    <row r="75" customFormat="false" ht="23.85" hidden="false" customHeight="true" outlineLevel="0" collapsed="false">
      <c r="A75" s="22" t="s">
        <v>376</v>
      </c>
      <c r="B75" s="22"/>
      <c r="C75" s="22"/>
      <c r="D75" s="62" t="n">
        <f aca="false">IF(OR(D53="",D13=""),"",((D53*(1+IF(D54="",0,D54))^ROUNDDOWN(9/IF(D55="",5,D55),0))+IF(IF(D63="",IF($D$35="",0,$D$35),D63)=0,0,MAX(0,D13*1.02^9-IF(D64&lt;&gt;"",D64,IF($D$37&lt;&gt;"",$D$37,(D53*(1+IF(D54="",0,D54))^ROUNDDOWN(9/IF(D55="",5,D55),0))/IF(D63="",IF($D$35="",0,$D$35),D63))))*IF(D63="",IF($D$35="",0,$D$35),D63)))/(D13*1.02^9))</f>
        <v>0.0262706188183562</v>
      </c>
      <c r="E75" s="62" t="str">
        <f aca="false">IF(OR(E53="",D13=""),"",((E53*(1+IF(E54="",0,E54))^ROUNDDOWN(9/IF(E55="",5,E55),0))+IF(IF(E63="",IF($D$35="",0,$D$35),E63)=0,0,MAX(0,D13*1.02^9-IF(E64&lt;&gt;"",E64,IF($D$37&lt;&gt;"",$D$37,(E53*(1+IF(E54="",0,E54))^ROUNDDOWN(9/IF(E55="",5,E55),0))/IF(E63="",IF($D$35="",0,$D$35),E63))))*IF(E63="",IF($D$35="",0,$D$35),E63)))/(D13*1.02^9))</f>
        <v/>
      </c>
      <c r="F75" s="62" t="str">
        <f aca="false">IF(OR(F53="",D13=""),"",((F53*(1+IF(F54="",0,F54))^ROUNDDOWN(9/IF(F55="",5,F55),0))+IF(IF(F63="",IF($D$35="",0,$D$35),F63)=0,0,MAX(0,D13*1.02^9-IF(F64&lt;&gt;"",F64,IF($D$37&lt;&gt;"",$D$37,(F53*(1+IF(F54="",0,F54))^ROUNDDOWN(9/IF(F55="",5,F55),0))/IF(F63="",IF($D$35="",0,$D$35),F63))))*IF(F63="",IF($D$35="",0,$D$35),F63)))/(D13*1.02^9))</f>
        <v/>
      </c>
      <c r="G75" s="62" t="str">
        <f aca="false">IF(OR(G53="",D13=""),"",((G53*(1+IF(G54="",0,G54))^ROUNDDOWN(9/IF(G55="",5,G55),0))+IF(IF(G63="",IF($D$35="",0,$D$35),G63)=0,0,MAX(0,D13*1.02^9-IF(G64&lt;&gt;"",G64,IF($D$37&lt;&gt;"",$D$37,(G53*(1+IF(G54="",0,G54))^ROUNDDOWN(9/IF(G55="",5,G55),0))/IF(G63="",IF($D$35="",0,$D$35),G63))))*IF(G63="",IF($D$35="",0,$D$35),G63)))/(D13*1.02^9))</f>
        <v/>
      </c>
      <c r="H75" s="62" t="str">
        <f aca="false">IF(OR(H53="",D13=""),"",((H53*(1+IF(H54="",0,H54))^ROUNDDOWN(9/IF(H55="",5,H55),0))+IF(IF(H63="",IF($D$35="",0,$D$35),H63)=0,0,MAX(0,D13*1.02^9-IF(H64&lt;&gt;"",H64,IF($D$37&lt;&gt;"",$D$37,(H53*(1+IF(H54="",0,H54))^ROUNDDOWN(9/IF(H55="",5,H55),0))/IF(H63="",IF($D$35="",0,$D$35),H63))))*IF(H63="",IF($D$35="",0,$D$35),H63)))/(D13*1.02^9))</f>
        <v/>
      </c>
    </row>
    <row r="76" customFormat="false" ht="23.85" hidden="false" customHeight="true" outlineLevel="0" collapsed="false">
      <c r="A76" s="22" t="s">
        <v>377</v>
      </c>
      <c r="B76" s="22"/>
      <c r="C76" s="22"/>
      <c r="D76" s="66" t="str">
        <f aca="false">IF(OR(D75="",D68=""),"",IF(MAX(D68,D75)&gt;=0.08,"HARD STOP — occupancy at/above 8% of sales: STOP, CEO sign-off before responding",IF(MAX(D68,D75)&gt;0.07,"Above Kim 7% alert — approaching 8% hard stop","OK — under 7% alert")))</f>
        <v>OK — under 7% alert</v>
      </c>
      <c r="E76" s="66" t="str">
        <f aca="false">IF(OR(E75="",E68=""),"",IF(MAX(E68,E75)&gt;=0.08,"HARD STOP — occupancy at/above 8% of sales: STOP, CEO sign-off before responding",IF(MAX(E68,E75)&gt;0.07,"Above Kim 7% alert — approaching 8% hard stop","OK — under 7% alert")))</f>
        <v/>
      </c>
      <c r="F76" s="66" t="str">
        <f aca="false">IF(OR(F75="",F68=""),"",IF(MAX(F68,F75)&gt;=0.08,"HARD STOP — occupancy at/above 8% of sales: STOP, CEO sign-off before responding",IF(MAX(F68,F75)&gt;0.07,"Above Kim 7% alert — approaching 8% hard stop","OK — under 7% alert")))</f>
        <v/>
      </c>
      <c r="G76" s="66" t="str">
        <f aca="false">IF(OR(G75="",G68=""),"",IF(MAX(G68,G75)&gt;=0.08,"HARD STOP — occupancy at/above 8% of sales: STOP, CEO sign-off before responding",IF(MAX(G68,G75)&gt;0.07,"Above Kim 7% alert — approaching 8% hard stop","OK — under 7% alert")))</f>
        <v/>
      </c>
      <c r="H76" s="66" t="str">
        <f aca="false">IF(OR(H75="",H68=""),"",IF(MAX(H68,H75)&gt;=0.08,"HARD STOP — occupancy at/above 8% of sales: STOP, CEO sign-off before responding",IF(MAX(H68,H75)&gt;0.07,"Above Kim 7% alert — approaching 8% hard stop","OK — under 7% alert")))</f>
        <v/>
      </c>
    </row>
    <row r="78" customFormat="false" ht="22.35" hidden="false" customHeight="true" outlineLevel="0" collapsed="false">
      <c r="A78" s="68" t="s">
        <v>379</v>
      </c>
      <c r="B78" s="68"/>
      <c r="C78" s="68"/>
      <c r="D78" s="68"/>
      <c r="E78" s="68"/>
      <c r="F78" s="68"/>
      <c r="G78" s="68"/>
      <c r="H78" s="68"/>
      <c r="I78" s="68"/>
      <c r="J78" s="68"/>
    </row>
    <row r="80" customFormat="false" ht="15" hidden="false" customHeight="false" outlineLevel="0" collapsed="false">
      <c r="A80" s="69" t="s">
        <v>380</v>
      </c>
      <c r="B80" s="69"/>
      <c r="C80" s="69"/>
      <c r="D80" s="69"/>
      <c r="E80" s="69"/>
      <c r="F80" s="69"/>
      <c r="G80" s="69"/>
      <c r="H80" s="69"/>
      <c r="I80" s="69"/>
      <c r="J80" s="69"/>
    </row>
    <row r="83" customFormat="false" ht="15" hidden="false" customHeight="false" outlineLevel="0" collapsed="false">
      <c r="A83" s="25" t="s">
        <v>381</v>
      </c>
    </row>
    <row r="84" customFormat="false" ht="15" hidden="false" customHeight="false" outlineLevel="0" collapsed="false">
      <c r="A84" s="69" t="s">
        <v>382</v>
      </c>
      <c r="B84" s="69"/>
      <c r="C84" s="69"/>
      <c r="D84" s="69"/>
      <c r="E84" s="69"/>
      <c r="F84" s="69"/>
      <c r="G84" s="69"/>
      <c r="H84" s="69"/>
      <c r="I84" s="69"/>
      <c r="J84" s="69"/>
      <c r="K84" s="69"/>
      <c r="L84" s="69"/>
      <c r="M84" s="69"/>
      <c r="N84" s="69"/>
      <c r="O84" s="69"/>
      <c r="P84" s="69"/>
      <c r="Q84" s="69"/>
      <c r="R84" s="69"/>
      <c r="S84" s="69"/>
      <c r="T84" s="69"/>
    </row>
    <row r="85" customFormat="false" ht="15" hidden="false" customHeight="true" outlineLevel="0" collapsed="false">
      <c r="A85" s="70" t="s">
        <v>383</v>
      </c>
      <c r="B85" s="70" t="s">
        <v>384</v>
      </c>
      <c r="C85" s="71" t="s">
        <v>385</v>
      </c>
      <c r="D85" s="71"/>
      <c r="E85" s="71"/>
      <c r="F85" s="71" t="s">
        <v>386</v>
      </c>
      <c r="G85" s="71"/>
      <c r="H85" s="71"/>
      <c r="I85" s="71" t="s">
        <v>387</v>
      </c>
      <c r="J85" s="71"/>
      <c r="K85" s="71"/>
      <c r="L85" s="71" t="s">
        <v>388</v>
      </c>
      <c r="M85" s="71"/>
      <c r="N85" s="71"/>
      <c r="O85" s="71" t="s">
        <v>389</v>
      </c>
      <c r="P85" s="71"/>
      <c r="Q85" s="71"/>
      <c r="R85" s="72" t="s">
        <v>390</v>
      </c>
      <c r="S85" s="72"/>
      <c r="T85" s="72"/>
    </row>
    <row r="86" customFormat="false" ht="15" hidden="false" customHeight="false" outlineLevel="0" collapsed="false">
      <c r="A86" s="73"/>
      <c r="B86" s="73"/>
      <c r="C86" s="73" t="s">
        <v>391</v>
      </c>
      <c r="D86" s="73" t="s">
        <v>392</v>
      </c>
      <c r="E86" s="73" t="s">
        <v>393</v>
      </c>
      <c r="F86" s="73" t="s">
        <v>391</v>
      </c>
      <c r="G86" s="73" t="s">
        <v>392</v>
      </c>
      <c r="H86" s="73" t="s">
        <v>393</v>
      </c>
      <c r="I86" s="73" t="s">
        <v>391</v>
      </c>
      <c r="J86" s="73" t="s">
        <v>392</v>
      </c>
      <c r="K86" s="73" t="s">
        <v>393</v>
      </c>
      <c r="L86" s="73" t="s">
        <v>391</v>
      </c>
      <c r="M86" s="73" t="s">
        <v>392</v>
      </c>
      <c r="N86" s="73" t="s">
        <v>393</v>
      </c>
      <c r="O86" s="73" t="s">
        <v>391</v>
      </c>
      <c r="P86" s="73" t="s">
        <v>392</v>
      </c>
      <c r="Q86" s="73" t="s">
        <v>393</v>
      </c>
      <c r="R86" s="73" t="s">
        <v>391</v>
      </c>
      <c r="S86" s="73" t="s">
        <v>392</v>
      </c>
      <c r="T86" s="73" t="s">
        <v>393</v>
      </c>
    </row>
    <row r="87" customFormat="false" ht="15" hidden="false" customHeight="false" outlineLevel="0" collapsed="false">
      <c r="A87" s="74" t="n">
        <v>1</v>
      </c>
      <c r="B87" s="75" t="n">
        <v>2223766</v>
      </c>
      <c r="C87" s="76" t="n">
        <v>68448</v>
      </c>
      <c r="D87" s="76" t="n">
        <v>0</v>
      </c>
      <c r="E87" s="76" t="n">
        <v>68448</v>
      </c>
      <c r="F87" s="75" t="n">
        <f aca="false">IF(D53="","",IF(1&gt;IF(D56="",10,D56),"",D53*(1+IF(D54="",0,D54))^ROUNDDOWN((1-1)/IF(D55="",5,D55),0)))</f>
        <v>68448</v>
      </c>
      <c r="G87" s="75" t="n">
        <f aca="false">IF(F87="","",IF((IF(D63="",IF($D$35="",0,$D$35),D63))=0,0,MAX(0,2223766-(IF(D64&lt;&gt;"",D64,IF($D$37&lt;&gt;"",$D$37,IF((IF(D63="",IF($D$35="",0,$D$35),D63))=0,0,D53/(IF(D63="",IF($D$35="",0,$D$35),D63)))))))*(IF(D63="",IF($D$35="",0,$D$35),D63))))</f>
        <v>0</v>
      </c>
      <c r="H87" s="75" t="n">
        <f aca="false">IF(F87="","",F87+G87)</f>
        <v>68448</v>
      </c>
      <c r="I87" s="75" t="str">
        <f aca="false">IF(E53="","",IF(1&gt;IF(E56="",10,E56),"",E53*(1+IF(E54="",0,E54))^ROUNDDOWN((1-1)/IF(E55="",5,E55),0)))</f>
        <v/>
      </c>
      <c r="J87" s="75" t="str">
        <f aca="false">IF(I87="","",IF((IF(E63="",IF($D$35="",0,$D$35),E63))=0,0,MAX(0,2223766-(IF(E64&lt;&gt;"",E64,IF($D$37&lt;&gt;"",$D$37,IF((IF(E63="",IF($D$35="",0,$D$35),E63))=0,0,E53/(IF(E63="",IF($D$35="",0,$D$35),E63)))))))*(IF(E63="",IF($D$35="",0,$D$35),E63))))</f>
        <v/>
      </c>
      <c r="K87" s="75" t="str">
        <f aca="false">IF(I87="","",I87+J87)</f>
        <v/>
      </c>
      <c r="L87" s="75" t="str">
        <f aca="false">IF(F53="","",IF(1&gt;IF(F56="",10,F56),"",F53*(1+IF(F54="",0,F54))^ROUNDDOWN((1-1)/IF(F55="",5,F55),0)))</f>
        <v/>
      </c>
      <c r="M87" s="75" t="str">
        <f aca="false">IF(L87="","",IF((IF(F63="",IF($D$35="",0,$D$35),F63))=0,0,MAX(0,2223766-(IF(F64&lt;&gt;"",F64,IF($D$37&lt;&gt;"",$D$37,IF((IF(F63="",IF($D$35="",0,$D$35),F63))=0,0,F53/(IF(F63="",IF($D$35="",0,$D$35),F63)))))))*(IF(F63="",IF($D$35="",0,$D$35),F63))))</f>
        <v/>
      </c>
      <c r="N87" s="75" t="str">
        <f aca="false">IF(L87="","",L87+M87)</f>
        <v/>
      </c>
      <c r="O87" s="75" t="str">
        <f aca="false">IF(G53="","",IF(1&gt;IF(G56="",10,G56),"",G53*(1+IF(G54="",0,G54))^ROUNDDOWN((1-1)/IF(G55="",5,G55),0)))</f>
        <v/>
      </c>
      <c r="P87" s="75" t="str">
        <f aca="false">IF(O87="","",IF((IF(G63="",IF($D$35="",0,$D$35),G63))=0,0,MAX(0,2223766-(IF(G64&lt;&gt;"",G64,IF($D$37&lt;&gt;"",$D$37,IF((IF(G63="",IF($D$35="",0,$D$35),G63))=0,0,G53/(IF(G63="",IF($D$35="",0,$D$35),G63)))))))*(IF(G63="",IF($D$35="",0,$D$35),G63))))</f>
        <v/>
      </c>
      <c r="Q87" s="75" t="str">
        <f aca="false">IF(O87="","",O87+P87)</f>
        <v/>
      </c>
      <c r="R87" s="75" t="str">
        <f aca="false">IF(H53="","",IF(1&gt;IF(H56="",10,H56),"",H53*(1+IF(H54="",0,H54))^ROUNDDOWN((1-1)/IF(H55="",5,H55),0)))</f>
        <v/>
      </c>
      <c r="S87" s="75" t="str">
        <f aca="false">IF(R87="","",IF((IF(H63="",IF($D$35="",0,$D$35),H63))=0,0,MAX(0,2223766-(IF(H64&lt;&gt;"",H64,IF($D$37&lt;&gt;"",$D$37,IF((IF(H63="",IF($D$35="",0,$D$35),H63))=0,0,H53/(IF(H63="",IF($D$35="",0,$D$35),H63)))))))*(IF(H63="",IF($D$35="",0,$D$35),H63))))</f>
        <v/>
      </c>
      <c r="T87" s="75" t="str">
        <f aca="false">IF(R87="","",R87+S87)</f>
        <v/>
      </c>
    </row>
    <row r="88" customFormat="false" ht="15" hidden="false" customHeight="false" outlineLevel="0" collapsed="false">
      <c r="A88" s="74" t="n">
        <v>2</v>
      </c>
      <c r="B88" s="75" t="n">
        <v>2268241</v>
      </c>
      <c r="C88" s="76" t="n">
        <v>68448</v>
      </c>
      <c r="D88" s="76" t="n">
        <v>0</v>
      </c>
      <c r="E88" s="76" t="n">
        <v>68448</v>
      </c>
      <c r="F88" s="75" t="n">
        <f aca="false">IF(D53="","",IF(2&gt;IF(D56="",10,D56),"",D53*(1+IF(D54="",0,D54))^ROUNDDOWN((2-1)/IF(D55="",5,D55),0)))</f>
        <v>68448</v>
      </c>
      <c r="G88" s="75" t="n">
        <f aca="false">IF(F88="","",IF((IF(D63="",IF($D$35="",0,$D$35),D63))=0,0,MAX(0,2268241.32-(IF(D64&lt;&gt;"",D64,IF($D$37&lt;&gt;"",$D$37,IF((IF(D63="",IF($D$35="",0,$D$35),D63))=0,0,D53/(IF(D63="",IF($D$35="",0,$D$35),D63)))))))*(IF(D63="",IF($D$35="",0,$D$35),D63))))</f>
        <v>0</v>
      </c>
      <c r="H88" s="75" t="n">
        <f aca="false">IF(F88="","",F88+G88)</f>
        <v>68448</v>
      </c>
      <c r="I88" s="75" t="str">
        <f aca="false">IF(E53="","",IF(2&gt;IF(E56="",10,E56),"",E53*(1+IF(E54="",0,E54))^ROUNDDOWN((2-1)/IF(E55="",5,E55),0)))</f>
        <v/>
      </c>
      <c r="J88" s="75" t="str">
        <f aca="false">IF(I88="","",IF((IF(E63="",IF($D$35="",0,$D$35),E63))=0,0,MAX(0,2268241.32-(IF(E64&lt;&gt;"",E64,IF($D$37&lt;&gt;"",$D$37,IF((IF(E63="",IF($D$35="",0,$D$35),E63))=0,0,E53/(IF(E63="",IF($D$35="",0,$D$35),E63)))))))*(IF(E63="",IF($D$35="",0,$D$35),E63))))</f>
        <v/>
      </c>
      <c r="K88" s="75" t="str">
        <f aca="false">IF(I88="","",I88+J88)</f>
        <v/>
      </c>
      <c r="L88" s="75" t="str">
        <f aca="false">IF(F53="","",IF(2&gt;IF(F56="",10,F56),"",F53*(1+IF(F54="",0,F54))^ROUNDDOWN((2-1)/IF(F55="",5,F55),0)))</f>
        <v/>
      </c>
      <c r="M88" s="75" t="str">
        <f aca="false">IF(L88="","",IF((IF(F63="",IF($D$35="",0,$D$35),F63))=0,0,MAX(0,2268241.32-(IF(F64&lt;&gt;"",F64,IF($D$37&lt;&gt;"",$D$37,IF((IF(F63="",IF($D$35="",0,$D$35),F63))=0,0,F53/(IF(F63="",IF($D$35="",0,$D$35),F63)))))))*(IF(F63="",IF($D$35="",0,$D$35),F63))))</f>
        <v/>
      </c>
      <c r="N88" s="75" t="str">
        <f aca="false">IF(L88="","",L88+M88)</f>
        <v/>
      </c>
      <c r="O88" s="75" t="str">
        <f aca="false">IF(G53="","",IF(2&gt;IF(G56="",10,G56),"",G53*(1+IF(G54="",0,G54))^ROUNDDOWN((2-1)/IF(G55="",5,G55),0)))</f>
        <v/>
      </c>
      <c r="P88" s="75" t="str">
        <f aca="false">IF(O88="","",IF((IF(G63="",IF($D$35="",0,$D$35),G63))=0,0,MAX(0,2268241.32-(IF(G64&lt;&gt;"",G64,IF($D$37&lt;&gt;"",$D$37,IF((IF(G63="",IF($D$35="",0,$D$35),G63))=0,0,G53/(IF(G63="",IF($D$35="",0,$D$35),G63)))))))*(IF(G63="",IF($D$35="",0,$D$35),G63))))</f>
        <v/>
      </c>
      <c r="Q88" s="75" t="str">
        <f aca="false">IF(O88="","",O88+P88)</f>
        <v/>
      </c>
      <c r="R88" s="75" t="str">
        <f aca="false">IF(H53="","",IF(2&gt;IF(H56="",10,H56),"",H53*(1+IF(H54="",0,H54))^ROUNDDOWN((2-1)/IF(H55="",5,H55),0)))</f>
        <v/>
      </c>
      <c r="S88" s="75" t="str">
        <f aca="false">IF(R88="","",IF((IF(H63="",IF($D$35="",0,$D$35),H63))=0,0,MAX(0,2268241.32-(IF(H64&lt;&gt;"",H64,IF($D$37&lt;&gt;"",$D$37,IF((IF(H63="",IF($D$35="",0,$D$35),H63))=0,0,H53/(IF(H63="",IF($D$35="",0,$D$35),H63)))))))*(IF(H63="",IF($D$35="",0,$D$35),H63))))</f>
        <v/>
      </c>
      <c r="T88" s="75" t="str">
        <f aca="false">IF(R88="","",R88+S88)</f>
        <v/>
      </c>
    </row>
    <row r="89" customFormat="false" ht="15" hidden="false" customHeight="false" outlineLevel="0" collapsed="false">
      <c r="A89" s="74" t="n">
        <v>3</v>
      </c>
      <c r="B89" s="75" t="n">
        <v>2313606</v>
      </c>
      <c r="C89" s="76" t="n">
        <v>68448</v>
      </c>
      <c r="D89" s="76" t="n">
        <v>0</v>
      </c>
      <c r="E89" s="76" t="n">
        <v>68448</v>
      </c>
      <c r="F89" s="75" t="n">
        <f aca="false">IF(D53="","",IF(3&gt;IF(D56="",10,D56),"",D53*(1+IF(D54="",0,D54))^ROUNDDOWN((3-1)/IF(D55="",5,D55),0)))</f>
        <v>68448</v>
      </c>
      <c r="G89" s="75" t="n">
        <f aca="false">IF(F89="","",IF((IF(D63="",IF($D$35="",0,$D$35),D63))=0,0,MAX(0,2313606.15-(IF(D64&lt;&gt;"",D64,IF($D$37&lt;&gt;"",$D$37,IF((IF(D63="",IF($D$35="",0,$D$35),D63))=0,0,D53/(IF(D63="",IF($D$35="",0,$D$35),D63)))))))*(IF(D63="",IF($D$35="",0,$D$35),D63))))</f>
        <v>0</v>
      </c>
      <c r="H89" s="75" t="n">
        <f aca="false">IF(F89="","",F89+G89)</f>
        <v>68448</v>
      </c>
      <c r="I89" s="75" t="str">
        <f aca="false">IF(E53="","",IF(3&gt;IF(E56="",10,E56),"",E53*(1+IF(E54="",0,E54))^ROUNDDOWN((3-1)/IF(E55="",5,E55),0)))</f>
        <v/>
      </c>
      <c r="J89" s="75" t="str">
        <f aca="false">IF(I89="","",IF((IF(E63="",IF($D$35="",0,$D$35),E63))=0,0,MAX(0,2313606.15-(IF(E64&lt;&gt;"",E64,IF($D$37&lt;&gt;"",$D$37,IF((IF(E63="",IF($D$35="",0,$D$35),E63))=0,0,E53/(IF(E63="",IF($D$35="",0,$D$35),E63)))))))*(IF(E63="",IF($D$35="",0,$D$35),E63))))</f>
        <v/>
      </c>
      <c r="K89" s="75" t="str">
        <f aca="false">IF(I89="","",I89+J89)</f>
        <v/>
      </c>
      <c r="L89" s="75" t="str">
        <f aca="false">IF(F53="","",IF(3&gt;IF(F56="",10,F56),"",F53*(1+IF(F54="",0,F54))^ROUNDDOWN((3-1)/IF(F55="",5,F55),0)))</f>
        <v/>
      </c>
      <c r="M89" s="75" t="str">
        <f aca="false">IF(L89="","",IF((IF(F63="",IF($D$35="",0,$D$35),F63))=0,0,MAX(0,2313606.15-(IF(F64&lt;&gt;"",F64,IF($D$37&lt;&gt;"",$D$37,IF((IF(F63="",IF($D$35="",0,$D$35),F63))=0,0,F53/(IF(F63="",IF($D$35="",0,$D$35),F63)))))))*(IF(F63="",IF($D$35="",0,$D$35),F63))))</f>
        <v/>
      </c>
      <c r="N89" s="75" t="str">
        <f aca="false">IF(L89="","",L89+M89)</f>
        <v/>
      </c>
      <c r="O89" s="75" t="str">
        <f aca="false">IF(G53="","",IF(3&gt;IF(G56="",10,G56),"",G53*(1+IF(G54="",0,G54))^ROUNDDOWN((3-1)/IF(G55="",5,G55),0)))</f>
        <v/>
      </c>
      <c r="P89" s="75" t="str">
        <f aca="false">IF(O89="","",IF((IF(G63="",IF($D$35="",0,$D$35),G63))=0,0,MAX(0,2313606.15-(IF(G64&lt;&gt;"",G64,IF($D$37&lt;&gt;"",$D$37,IF((IF(G63="",IF($D$35="",0,$D$35),G63))=0,0,G53/(IF(G63="",IF($D$35="",0,$D$35),G63)))))))*(IF(G63="",IF($D$35="",0,$D$35),G63))))</f>
        <v/>
      </c>
      <c r="Q89" s="75" t="str">
        <f aca="false">IF(O89="","",O89+P89)</f>
        <v/>
      </c>
      <c r="R89" s="75" t="str">
        <f aca="false">IF(H53="","",IF(3&gt;IF(H56="",10,H56),"",H53*(1+IF(H54="",0,H54))^ROUNDDOWN((3-1)/IF(H55="",5,H55),0)))</f>
        <v/>
      </c>
      <c r="S89" s="75" t="str">
        <f aca="false">IF(R89="","",IF((IF(H63="",IF($D$35="",0,$D$35),H63))=0,0,MAX(0,2313606.15-(IF(H64&lt;&gt;"",H64,IF($D$37&lt;&gt;"",$D$37,IF((IF(H63="",IF($D$35="",0,$D$35),H63))=0,0,H53/(IF(H63="",IF($D$35="",0,$D$35),H63)))))))*(IF(H63="",IF($D$35="",0,$D$35),H63))))</f>
        <v/>
      </c>
      <c r="T89" s="75" t="str">
        <f aca="false">IF(R89="","",R89+S89)</f>
        <v/>
      </c>
    </row>
    <row r="90" customFormat="false" ht="15" hidden="false" customHeight="false" outlineLevel="0" collapsed="false">
      <c r="A90" s="74" t="n">
        <v>4</v>
      </c>
      <c r="B90" s="75" t="n">
        <v>2359878</v>
      </c>
      <c r="C90" s="76" t="n">
        <v>68448</v>
      </c>
      <c r="D90" s="76" t="n">
        <v>0</v>
      </c>
      <c r="E90" s="76" t="n">
        <v>68448</v>
      </c>
      <c r="F90" s="75" t="n">
        <f aca="false">IF(D53="","",IF(4&gt;IF(D56="",10,D56),"",D53*(1+IF(D54="",0,D54))^ROUNDDOWN((4-1)/IF(D55="",5,D55),0)))</f>
        <v>68448</v>
      </c>
      <c r="G90" s="75" t="n">
        <f aca="false">IF(F90="","",IF((IF(D63="",IF($D$35="",0,$D$35),D63))=0,0,MAX(0,2359878.27-(IF(D64&lt;&gt;"",D64,IF($D$37&lt;&gt;"",$D$37,IF((IF(D63="",IF($D$35="",0,$D$35),D63))=0,0,D53/(IF(D63="",IF($D$35="",0,$D$35),D63)))))))*(IF(D63="",IF($D$35="",0,$D$35),D63))))</f>
        <v>0</v>
      </c>
      <c r="H90" s="75" t="n">
        <f aca="false">IF(F90="","",F90+G90)</f>
        <v>68448</v>
      </c>
      <c r="I90" s="75" t="str">
        <f aca="false">IF(E53="","",IF(4&gt;IF(E56="",10,E56),"",E53*(1+IF(E54="",0,E54))^ROUNDDOWN((4-1)/IF(E55="",5,E55),0)))</f>
        <v/>
      </c>
      <c r="J90" s="75" t="str">
        <f aca="false">IF(I90="","",IF((IF(E63="",IF($D$35="",0,$D$35),E63))=0,0,MAX(0,2359878.27-(IF(E64&lt;&gt;"",E64,IF($D$37&lt;&gt;"",$D$37,IF((IF(E63="",IF($D$35="",0,$D$35),E63))=0,0,E53/(IF(E63="",IF($D$35="",0,$D$35),E63)))))))*(IF(E63="",IF($D$35="",0,$D$35),E63))))</f>
        <v/>
      </c>
      <c r="K90" s="75" t="str">
        <f aca="false">IF(I90="","",I90+J90)</f>
        <v/>
      </c>
      <c r="L90" s="75" t="str">
        <f aca="false">IF(F53="","",IF(4&gt;IF(F56="",10,F56),"",F53*(1+IF(F54="",0,F54))^ROUNDDOWN((4-1)/IF(F55="",5,F55),0)))</f>
        <v/>
      </c>
      <c r="M90" s="75" t="str">
        <f aca="false">IF(L90="","",IF((IF(F63="",IF($D$35="",0,$D$35),F63))=0,0,MAX(0,2359878.27-(IF(F64&lt;&gt;"",F64,IF($D$37&lt;&gt;"",$D$37,IF((IF(F63="",IF($D$35="",0,$D$35),F63))=0,0,F53/(IF(F63="",IF($D$35="",0,$D$35),F63)))))))*(IF(F63="",IF($D$35="",0,$D$35),F63))))</f>
        <v/>
      </c>
      <c r="N90" s="75" t="str">
        <f aca="false">IF(L90="","",L90+M90)</f>
        <v/>
      </c>
      <c r="O90" s="75" t="str">
        <f aca="false">IF(G53="","",IF(4&gt;IF(G56="",10,G56),"",G53*(1+IF(G54="",0,G54))^ROUNDDOWN((4-1)/IF(G55="",5,G55),0)))</f>
        <v/>
      </c>
      <c r="P90" s="75" t="str">
        <f aca="false">IF(O90="","",IF((IF(G63="",IF($D$35="",0,$D$35),G63))=0,0,MAX(0,2359878.27-(IF(G64&lt;&gt;"",G64,IF($D$37&lt;&gt;"",$D$37,IF((IF(G63="",IF($D$35="",0,$D$35),G63))=0,0,G53/(IF(G63="",IF($D$35="",0,$D$35),G63)))))))*(IF(G63="",IF($D$35="",0,$D$35),G63))))</f>
        <v/>
      </c>
      <c r="Q90" s="75" t="str">
        <f aca="false">IF(O90="","",O90+P90)</f>
        <v/>
      </c>
      <c r="R90" s="75" t="str">
        <f aca="false">IF(H53="","",IF(4&gt;IF(H56="",10,H56),"",H53*(1+IF(H54="",0,H54))^ROUNDDOWN((4-1)/IF(H55="",5,H55),0)))</f>
        <v/>
      </c>
      <c r="S90" s="75" t="str">
        <f aca="false">IF(R90="","",IF((IF(H63="",IF($D$35="",0,$D$35),H63))=0,0,MAX(0,2359878.27-(IF(H64&lt;&gt;"",H64,IF($D$37&lt;&gt;"",$D$37,IF((IF(H63="",IF($D$35="",0,$D$35),H63))=0,0,H53/(IF(H63="",IF($D$35="",0,$D$35),H63)))))))*(IF(H63="",IF($D$35="",0,$D$35),H63))))</f>
        <v/>
      </c>
      <c r="T90" s="75" t="str">
        <f aca="false">IF(R90="","",R90+S90)</f>
        <v/>
      </c>
    </row>
    <row r="91" customFormat="false" ht="15" hidden="false" customHeight="false" outlineLevel="0" collapsed="false">
      <c r="A91" s="74" t="n">
        <v>5</v>
      </c>
      <c r="B91" s="75" t="n">
        <v>2407076</v>
      </c>
      <c r="C91" s="76" t="n">
        <v>68448</v>
      </c>
      <c r="D91" s="76" t="n">
        <v>0</v>
      </c>
      <c r="E91" s="76" t="n">
        <v>68448</v>
      </c>
      <c r="F91" s="75" t="n">
        <f aca="false">IF(D53="","",IF(5&gt;IF(D56="",10,D56),"",D53*(1+IF(D54="",0,D54))^ROUNDDOWN((5-1)/IF(D55="",5,D55),0)))</f>
        <v>68448</v>
      </c>
      <c r="G91" s="75" t="n">
        <f aca="false">IF(F91="","",IF((IF(D63="",IF($D$35="",0,$D$35),D63))=0,0,MAX(0,2407075.83-(IF(D64&lt;&gt;"",D64,IF($D$37&lt;&gt;"",$D$37,IF((IF(D63="",IF($D$35="",0,$D$35),D63))=0,0,D53/(IF(D63="",IF($D$35="",0,$D$35),D63)))))))*(IF(D63="",IF($D$35="",0,$D$35),D63))))</f>
        <v>0</v>
      </c>
      <c r="H91" s="75" t="n">
        <f aca="false">IF(F91="","",F91+G91)</f>
        <v>68448</v>
      </c>
      <c r="I91" s="75" t="str">
        <f aca="false">IF(E53="","",IF(5&gt;IF(E56="",10,E56),"",E53*(1+IF(E54="",0,E54))^ROUNDDOWN((5-1)/IF(E55="",5,E55),0)))</f>
        <v/>
      </c>
      <c r="J91" s="75" t="str">
        <f aca="false">IF(I91="","",IF((IF(E63="",IF($D$35="",0,$D$35),E63))=0,0,MAX(0,2407075.83-(IF(E64&lt;&gt;"",E64,IF($D$37&lt;&gt;"",$D$37,IF((IF(E63="",IF($D$35="",0,$D$35),E63))=0,0,E53/(IF(E63="",IF($D$35="",0,$D$35),E63)))))))*(IF(E63="",IF($D$35="",0,$D$35),E63))))</f>
        <v/>
      </c>
      <c r="K91" s="75" t="str">
        <f aca="false">IF(I91="","",I91+J91)</f>
        <v/>
      </c>
      <c r="L91" s="75" t="str">
        <f aca="false">IF(F53="","",IF(5&gt;IF(F56="",10,F56),"",F53*(1+IF(F54="",0,F54))^ROUNDDOWN((5-1)/IF(F55="",5,F55),0)))</f>
        <v/>
      </c>
      <c r="M91" s="75" t="str">
        <f aca="false">IF(L91="","",IF((IF(F63="",IF($D$35="",0,$D$35),F63))=0,0,MAX(0,2407075.83-(IF(F64&lt;&gt;"",F64,IF($D$37&lt;&gt;"",$D$37,IF((IF(F63="",IF($D$35="",0,$D$35),F63))=0,0,F53/(IF(F63="",IF($D$35="",0,$D$35),F63)))))))*(IF(F63="",IF($D$35="",0,$D$35),F63))))</f>
        <v/>
      </c>
      <c r="N91" s="75" t="str">
        <f aca="false">IF(L91="","",L91+M91)</f>
        <v/>
      </c>
      <c r="O91" s="75" t="str">
        <f aca="false">IF(G53="","",IF(5&gt;IF(G56="",10,G56),"",G53*(1+IF(G54="",0,G54))^ROUNDDOWN((5-1)/IF(G55="",5,G55),0)))</f>
        <v/>
      </c>
      <c r="P91" s="75" t="str">
        <f aca="false">IF(O91="","",IF((IF(G63="",IF($D$35="",0,$D$35),G63))=0,0,MAX(0,2407075.83-(IF(G64&lt;&gt;"",G64,IF($D$37&lt;&gt;"",$D$37,IF((IF(G63="",IF($D$35="",0,$D$35),G63))=0,0,G53/(IF(G63="",IF($D$35="",0,$D$35),G63)))))))*(IF(G63="",IF($D$35="",0,$D$35),G63))))</f>
        <v/>
      </c>
      <c r="Q91" s="75" t="str">
        <f aca="false">IF(O91="","",O91+P91)</f>
        <v/>
      </c>
      <c r="R91" s="75" t="str">
        <f aca="false">IF(H53="","",IF(5&gt;IF(H56="",10,H56),"",H53*(1+IF(H54="",0,H54))^ROUNDDOWN((5-1)/IF(H55="",5,H55),0)))</f>
        <v/>
      </c>
      <c r="S91" s="75" t="str">
        <f aca="false">IF(R91="","",IF((IF(H63="",IF($D$35="",0,$D$35),H63))=0,0,MAX(0,2407075.83-(IF(H64&lt;&gt;"",H64,IF($D$37&lt;&gt;"",$D$37,IF((IF(H63="",IF($D$35="",0,$D$35),H63))=0,0,H53/(IF(H63="",IF($D$35="",0,$D$35),H63)))))))*(IF(H63="",IF($D$35="",0,$D$35),H63))))</f>
        <v/>
      </c>
      <c r="T91" s="75" t="str">
        <f aca="false">IF(R91="","",R91+S91)</f>
        <v/>
      </c>
    </row>
    <row r="92" customFormat="false" ht="15" hidden="false" customHeight="false" outlineLevel="0" collapsed="false">
      <c r="A92" s="74" t="n">
        <v>6</v>
      </c>
      <c r="B92" s="75" t="n">
        <v>2455217</v>
      </c>
      <c r="C92" s="76" t="n">
        <v>75293</v>
      </c>
      <c r="D92" s="76" t="n">
        <v>0</v>
      </c>
      <c r="E92" s="76" t="n">
        <v>75293</v>
      </c>
      <c r="F92" s="75" t="n">
        <f aca="false">IF(D53="","",IF(6&gt;IF(D56="",10,D56),"",D53*(1+IF(D54="",0,D54))^ROUNDDOWN((6-1)/IF(D55="",5,D55),0)))</f>
        <v>69816.96</v>
      </c>
      <c r="G92" s="75" t="n">
        <f aca="false">IF(F92="","",IF((IF(D63="",IF($D$35="",0,$D$35),D63))=0,0,MAX(0,2455217.35-(IF(D64&lt;&gt;"",D64,IF($D$37&lt;&gt;"",$D$37,IF((IF(D63="",IF($D$35="",0,$D$35),D63))=0,0,D53/(IF(D63="",IF($D$35="",0,$D$35),D63)))))))*(IF(D63="",IF($D$35="",0,$D$35),D63))))</f>
        <v>0</v>
      </c>
      <c r="H92" s="75" t="n">
        <f aca="false">IF(F92="","",F92+G92)</f>
        <v>69816.96</v>
      </c>
      <c r="I92" s="75" t="str">
        <f aca="false">IF(E53="","",IF(6&gt;IF(E56="",10,E56),"",E53*(1+IF(E54="",0,E54))^ROUNDDOWN((6-1)/IF(E55="",5,E55),0)))</f>
        <v/>
      </c>
      <c r="J92" s="75" t="str">
        <f aca="false">IF(I92="","",IF((IF(E63="",IF($D$35="",0,$D$35),E63))=0,0,MAX(0,2455217.35-(IF(E64&lt;&gt;"",E64,IF($D$37&lt;&gt;"",$D$37,IF((IF(E63="",IF($D$35="",0,$D$35),E63))=0,0,E53/(IF(E63="",IF($D$35="",0,$D$35),E63)))))))*(IF(E63="",IF($D$35="",0,$D$35),E63))))</f>
        <v/>
      </c>
      <c r="K92" s="75" t="str">
        <f aca="false">IF(I92="","",I92+J92)</f>
        <v/>
      </c>
      <c r="L92" s="75" t="str">
        <f aca="false">IF(F53="","",IF(6&gt;IF(F56="",10,F56),"",F53*(1+IF(F54="",0,F54))^ROUNDDOWN((6-1)/IF(F55="",5,F55),0)))</f>
        <v/>
      </c>
      <c r="M92" s="75" t="str">
        <f aca="false">IF(L92="","",IF((IF(F63="",IF($D$35="",0,$D$35),F63))=0,0,MAX(0,2455217.35-(IF(F64&lt;&gt;"",F64,IF($D$37&lt;&gt;"",$D$37,IF((IF(F63="",IF($D$35="",0,$D$35),F63))=0,0,F53/(IF(F63="",IF($D$35="",0,$D$35),F63)))))))*(IF(F63="",IF($D$35="",0,$D$35),F63))))</f>
        <v/>
      </c>
      <c r="N92" s="75" t="str">
        <f aca="false">IF(L92="","",L92+M92)</f>
        <v/>
      </c>
      <c r="O92" s="75" t="str">
        <f aca="false">IF(G53="","",IF(6&gt;IF(G56="",10,G56),"",G53*(1+IF(G54="",0,G54))^ROUNDDOWN((6-1)/IF(G55="",5,G55),0)))</f>
        <v/>
      </c>
      <c r="P92" s="75" t="str">
        <f aca="false">IF(O92="","",IF((IF(G63="",IF($D$35="",0,$D$35),G63))=0,0,MAX(0,2455217.35-(IF(G64&lt;&gt;"",G64,IF($D$37&lt;&gt;"",$D$37,IF((IF(G63="",IF($D$35="",0,$D$35),G63))=0,0,G53/(IF(G63="",IF($D$35="",0,$D$35),G63)))))))*(IF(G63="",IF($D$35="",0,$D$35),G63))))</f>
        <v/>
      </c>
      <c r="Q92" s="75" t="str">
        <f aca="false">IF(O92="","",O92+P92)</f>
        <v/>
      </c>
      <c r="R92" s="75" t="str">
        <f aca="false">IF(H53="","",IF(6&gt;IF(H56="",10,H56),"",H53*(1+IF(H54="",0,H54))^ROUNDDOWN((6-1)/IF(H55="",5,H55),0)))</f>
        <v/>
      </c>
      <c r="S92" s="75" t="str">
        <f aca="false">IF(R92="","",IF((IF(H63="",IF($D$35="",0,$D$35),H63))=0,0,MAX(0,2455217.35-(IF(H64&lt;&gt;"",H64,IF($D$37&lt;&gt;"",$D$37,IF((IF(H63="",IF($D$35="",0,$D$35),H63))=0,0,H53/(IF(H63="",IF($D$35="",0,$D$35),H63)))))))*(IF(H63="",IF($D$35="",0,$D$35),H63))))</f>
        <v/>
      </c>
      <c r="T92" s="75" t="str">
        <f aca="false">IF(R92="","",R92+S92)</f>
        <v/>
      </c>
    </row>
    <row r="93" customFormat="false" ht="15" hidden="false" customHeight="false" outlineLevel="0" collapsed="false">
      <c r="A93" s="74" t="n">
        <v>7</v>
      </c>
      <c r="B93" s="75" t="n">
        <v>2504322</v>
      </c>
      <c r="C93" s="76" t="n">
        <v>75293</v>
      </c>
      <c r="D93" s="76" t="n">
        <v>0</v>
      </c>
      <c r="E93" s="76" t="n">
        <v>75293</v>
      </c>
      <c r="F93" s="75" t="n">
        <f aca="false">IF(D53="","",IF(7&gt;IF(D56="",10,D56),"",D53*(1+IF(D54="",0,D54))^ROUNDDOWN((7-1)/IF(D55="",5,D55),0)))</f>
        <v>69816.96</v>
      </c>
      <c r="G93" s="75" t="n">
        <f aca="false">IF(F93="","",IF((IF(D63="",IF($D$35="",0,$D$35),D63))=0,0,MAX(0,2504321.7-(IF(D64&lt;&gt;"",D64,IF($D$37&lt;&gt;"",$D$37,IF((IF(D63="",IF($D$35="",0,$D$35),D63))=0,0,D53/(IF(D63="",IF($D$35="",0,$D$35),D63)))))))*(IF(D63="",IF($D$35="",0,$D$35),D63))))</f>
        <v>0</v>
      </c>
      <c r="H93" s="75" t="n">
        <f aca="false">IF(F93="","",F93+G93)</f>
        <v>69816.96</v>
      </c>
      <c r="I93" s="75" t="str">
        <f aca="false">IF(E53="","",IF(7&gt;IF(E56="",10,E56),"",E53*(1+IF(E54="",0,E54))^ROUNDDOWN((7-1)/IF(E55="",5,E55),0)))</f>
        <v/>
      </c>
      <c r="J93" s="75" t="str">
        <f aca="false">IF(I93="","",IF((IF(E63="",IF($D$35="",0,$D$35),E63))=0,0,MAX(0,2504321.7-(IF(E64&lt;&gt;"",E64,IF($D$37&lt;&gt;"",$D$37,IF((IF(E63="",IF($D$35="",0,$D$35),E63))=0,0,E53/(IF(E63="",IF($D$35="",0,$D$35),E63)))))))*(IF(E63="",IF($D$35="",0,$D$35),E63))))</f>
        <v/>
      </c>
      <c r="K93" s="75" t="str">
        <f aca="false">IF(I93="","",I93+J93)</f>
        <v/>
      </c>
      <c r="L93" s="75" t="str">
        <f aca="false">IF(F53="","",IF(7&gt;IF(F56="",10,F56),"",F53*(1+IF(F54="",0,F54))^ROUNDDOWN((7-1)/IF(F55="",5,F55),0)))</f>
        <v/>
      </c>
      <c r="M93" s="75" t="str">
        <f aca="false">IF(L93="","",IF((IF(F63="",IF($D$35="",0,$D$35),F63))=0,0,MAX(0,2504321.7-(IF(F64&lt;&gt;"",F64,IF($D$37&lt;&gt;"",$D$37,IF((IF(F63="",IF($D$35="",0,$D$35),F63))=0,0,F53/(IF(F63="",IF($D$35="",0,$D$35),F63)))))))*(IF(F63="",IF($D$35="",0,$D$35),F63))))</f>
        <v/>
      </c>
      <c r="N93" s="75" t="str">
        <f aca="false">IF(L93="","",L93+M93)</f>
        <v/>
      </c>
      <c r="O93" s="75" t="str">
        <f aca="false">IF(G53="","",IF(7&gt;IF(G56="",10,G56),"",G53*(1+IF(G54="",0,G54))^ROUNDDOWN((7-1)/IF(G55="",5,G55),0)))</f>
        <v/>
      </c>
      <c r="P93" s="75" t="str">
        <f aca="false">IF(O93="","",IF((IF(G63="",IF($D$35="",0,$D$35),G63))=0,0,MAX(0,2504321.7-(IF(G64&lt;&gt;"",G64,IF($D$37&lt;&gt;"",$D$37,IF((IF(G63="",IF($D$35="",0,$D$35),G63))=0,0,G53/(IF(G63="",IF($D$35="",0,$D$35),G63)))))))*(IF(G63="",IF($D$35="",0,$D$35),G63))))</f>
        <v/>
      </c>
      <c r="Q93" s="75" t="str">
        <f aca="false">IF(O93="","",O93+P93)</f>
        <v/>
      </c>
      <c r="R93" s="75" t="str">
        <f aca="false">IF(H53="","",IF(7&gt;IF(H56="",10,H56),"",H53*(1+IF(H54="",0,H54))^ROUNDDOWN((7-1)/IF(H55="",5,H55),0)))</f>
        <v/>
      </c>
      <c r="S93" s="75" t="str">
        <f aca="false">IF(R93="","",IF((IF(H63="",IF($D$35="",0,$D$35),H63))=0,0,MAX(0,2504321.7-(IF(H64&lt;&gt;"",H64,IF($D$37&lt;&gt;"",$D$37,IF((IF(H63="",IF($D$35="",0,$D$35),H63))=0,0,H53/(IF(H63="",IF($D$35="",0,$D$35),H63)))))))*(IF(H63="",IF($D$35="",0,$D$35),H63))))</f>
        <v/>
      </c>
      <c r="T93" s="75" t="str">
        <f aca="false">IF(R93="","",R93+S93)</f>
        <v/>
      </c>
    </row>
    <row r="94" customFormat="false" ht="15" hidden="false" customHeight="false" outlineLevel="0" collapsed="false">
      <c r="A94" s="74" t="n">
        <v>8</v>
      </c>
      <c r="B94" s="75" t="n">
        <v>2554408</v>
      </c>
      <c r="C94" s="76" t="n">
        <v>75293</v>
      </c>
      <c r="D94" s="76" t="n">
        <v>0</v>
      </c>
      <c r="E94" s="76" t="n">
        <v>75293</v>
      </c>
      <c r="F94" s="75" t="n">
        <f aca="false">IF(D53="","",IF(8&gt;IF(D56="",10,D56),"",D53*(1+IF(D54="",0,D54))^ROUNDDOWN((8-1)/IF(D55="",5,D55),0)))</f>
        <v>69816.96</v>
      </c>
      <c r="G94" s="75" t="n">
        <f aca="false">IF(F94="","",IF((IF(D63="",IF($D$35="",0,$D$35),D63))=0,0,MAX(0,2554408.13-(IF(D64&lt;&gt;"",D64,IF($D$37&lt;&gt;"",$D$37,IF((IF(D63="",IF($D$35="",0,$D$35),D63))=0,0,D53/(IF(D63="",IF($D$35="",0,$D$35),D63)))))))*(IF(D63="",IF($D$35="",0,$D$35),D63))))</f>
        <v>0</v>
      </c>
      <c r="H94" s="75" t="n">
        <f aca="false">IF(F94="","",F94+G94)</f>
        <v>69816.96</v>
      </c>
      <c r="I94" s="75" t="str">
        <f aca="false">IF(E53="","",IF(8&gt;IF(E56="",10,E56),"",E53*(1+IF(E54="",0,E54))^ROUNDDOWN((8-1)/IF(E55="",5,E55),0)))</f>
        <v/>
      </c>
      <c r="J94" s="75" t="str">
        <f aca="false">IF(I94="","",IF((IF(E63="",IF($D$35="",0,$D$35),E63))=0,0,MAX(0,2554408.13-(IF(E64&lt;&gt;"",E64,IF($D$37&lt;&gt;"",$D$37,IF((IF(E63="",IF($D$35="",0,$D$35),E63))=0,0,E53/(IF(E63="",IF($D$35="",0,$D$35),E63)))))))*(IF(E63="",IF($D$35="",0,$D$35),E63))))</f>
        <v/>
      </c>
      <c r="K94" s="75" t="str">
        <f aca="false">IF(I94="","",I94+J94)</f>
        <v/>
      </c>
      <c r="L94" s="75" t="str">
        <f aca="false">IF(F53="","",IF(8&gt;IF(F56="",10,F56),"",F53*(1+IF(F54="",0,F54))^ROUNDDOWN((8-1)/IF(F55="",5,F55),0)))</f>
        <v/>
      </c>
      <c r="M94" s="75" t="str">
        <f aca="false">IF(L94="","",IF((IF(F63="",IF($D$35="",0,$D$35),F63))=0,0,MAX(0,2554408.13-(IF(F64&lt;&gt;"",F64,IF($D$37&lt;&gt;"",$D$37,IF((IF(F63="",IF($D$35="",0,$D$35),F63))=0,0,F53/(IF(F63="",IF($D$35="",0,$D$35),F63)))))))*(IF(F63="",IF($D$35="",0,$D$35),F63))))</f>
        <v/>
      </c>
      <c r="N94" s="75" t="str">
        <f aca="false">IF(L94="","",L94+M94)</f>
        <v/>
      </c>
      <c r="O94" s="75" t="str">
        <f aca="false">IF(G53="","",IF(8&gt;IF(G56="",10,G56),"",G53*(1+IF(G54="",0,G54))^ROUNDDOWN((8-1)/IF(G55="",5,G55),0)))</f>
        <v/>
      </c>
      <c r="P94" s="75" t="str">
        <f aca="false">IF(O94="","",IF((IF(G63="",IF($D$35="",0,$D$35),G63))=0,0,MAX(0,2554408.13-(IF(G64&lt;&gt;"",G64,IF($D$37&lt;&gt;"",$D$37,IF((IF(G63="",IF($D$35="",0,$D$35),G63))=0,0,G53/(IF(G63="",IF($D$35="",0,$D$35),G63)))))))*(IF(G63="",IF($D$35="",0,$D$35),G63))))</f>
        <v/>
      </c>
      <c r="Q94" s="75" t="str">
        <f aca="false">IF(O94="","",O94+P94)</f>
        <v/>
      </c>
      <c r="R94" s="75" t="str">
        <f aca="false">IF(H53="","",IF(8&gt;IF(H56="",10,H56),"",H53*(1+IF(H54="",0,H54))^ROUNDDOWN((8-1)/IF(H55="",5,H55),0)))</f>
        <v/>
      </c>
      <c r="S94" s="75" t="str">
        <f aca="false">IF(R94="","",IF((IF(H63="",IF($D$35="",0,$D$35),H63))=0,0,MAX(0,2554408.13-(IF(H64&lt;&gt;"",H64,IF($D$37&lt;&gt;"",$D$37,IF((IF(H63="",IF($D$35="",0,$D$35),H63))=0,0,H53/(IF(H63="",IF($D$35="",0,$D$35),H63)))))))*(IF(H63="",IF($D$35="",0,$D$35),H63))))</f>
        <v/>
      </c>
      <c r="T94" s="75" t="str">
        <f aca="false">IF(R94="","",R94+S94)</f>
        <v/>
      </c>
    </row>
    <row r="95" customFormat="false" ht="15" hidden="false" customHeight="false" outlineLevel="0" collapsed="false">
      <c r="A95" s="74" t="n">
        <v>9</v>
      </c>
      <c r="B95" s="75" t="n">
        <v>2605496</v>
      </c>
      <c r="C95" s="76" t="n">
        <v>75293</v>
      </c>
      <c r="D95" s="76" t="n">
        <v>0</v>
      </c>
      <c r="E95" s="76" t="n">
        <v>75293</v>
      </c>
      <c r="F95" s="75" t="n">
        <f aca="false">IF(D53="","",IF(9&gt;IF(D56="",10,D56),"",D53*(1+IF(D54="",0,D54))^ROUNDDOWN((9-1)/IF(D55="",5,D55),0)))</f>
        <v>69816.96</v>
      </c>
      <c r="G95" s="75" t="n">
        <f aca="false">IF(F95="","",IF((IF(D63="",IF($D$35="",0,$D$35),D63))=0,0,MAX(0,2605496.3-(IF(D64&lt;&gt;"",D64,IF($D$37&lt;&gt;"",$D$37,IF((IF(D63="",IF($D$35="",0,$D$35),D63))=0,0,D53/(IF(D63="",IF($D$35="",0,$D$35),D63)))))))*(IF(D63="",IF($D$35="",0,$D$35),D63))))</f>
        <v>0</v>
      </c>
      <c r="H95" s="75" t="n">
        <f aca="false">IF(F95="","",F95+G95)</f>
        <v>69816.96</v>
      </c>
      <c r="I95" s="75" t="str">
        <f aca="false">IF(E53="","",IF(9&gt;IF(E56="",10,E56),"",E53*(1+IF(E54="",0,E54))^ROUNDDOWN((9-1)/IF(E55="",5,E55),0)))</f>
        <v/>
      </c>
      <c r="J95" s="75" t="str">
        <f aca="false">IF(I95="","",IF((IF(E63="",IF($D$35="",0,$D$35),E63))=0,0,MAX(0,2605496.3-(IF(E64&lt;&gt;"",E64,IF($D$37&lt;&gt;"",$D$37,IF((IF(E63="",IF($D$35="",0,$D$35),E63))=0,0,E53/(IF(E63="",IF($D$35="",0,$D$35),E63)))))))*(IF(E63="",IF($D$35="",0,$D$35),E63))))</f>
        <v/>
      </c>
      <c r="K95" s="75" t="str">
        <f aca="false">IF(I95="","",I95+J95)</f>
        <v/>
      </c>
      <c r="L95" s="75" t="str">
        <f aca="false">IF(F53="","",IF(9&gt;IF(F56="",10,F56),"",F53*(1+IF(F54="",0,F54))^ROUNDDOWN((9-1)/IF(F55="",5,F55),0)))</f>
        <v/>
      </c>
      <c r="M95" s="75" t="str">
        <f aca="false">IF(L95="","",IF((IF(F63="",IF($D$35="",0,$D$35),F63))=0,0,MAX(0,2605496.3-(IF(F64&lt;&gt;"",F64,IF($D$37&lt;&gt;"",$D$37,IF((IF(F63="",IF($D$35="",0,$D$35),F63))=0,0,F53/(IF(F63="",IF($D$35="",0,$D$35),F63)))))))*(IF(F63="",IF($D$35="",0,$D$35),F63))))</f>
        <v/>
      </c>
      <c r="N95" s="75" t="str">
        <f aca="false">IF(L95="","",L95+M95)</f>
        <v/>
      </c>
      <c r="O95" s="75" t="str">
        <f aca="false">IF(G53="","",IF(9&gt;IF(G56="",10,G56),"",G53*(1+IF(G54="",0,G54))^ROUNDDOWN((9-1)/IF(G55="",5,G55),0)))</f>
        <v/>
      </c>
      <c r="P95" s="75" t="str">
        <f aca="false">IF(O95="","",IF((IF(G63="",IF($D$35="",0,$D$35),G63))=0,0,MAX(0,2605496.3-(IF(G64&lt;&gt;"",G64,IF($D$37&lt;&gt;"",$D$37,IF((IF(G63="",IF($D$35="",0,$D$35),G63))=0,0,G53/(IF(G63="",IF($D$35="",0,$D$35),G63)))))))*(IF(G63="",IF($D$35="",0,$D$35),G63))))</f>
        <v/>
      </c>
      <c r="Q95" s="75" t="str">
        <f aca="false">IF(O95="","",O95+P95)</f>
        <v/>
      </c>
      <c r="R95" s="75" t="str">
        <f aca="false">IF(H53="","",IF(9&gt;IF(H56="",10,H56),"",H53*(1+IF(H54="",0,H54))^ROUNDDOWN((9-1)/IF(H55="",5,H55),0)))</f>
        <v/>
      </c>
      <c r="S95" s="75" t="str">
        <f aca="false">IF(R95="","",IF((IF(H63="",IF($D$35="",0,$D$35),H63))=0,0,MAX(0,2605496.3-(IF(H64&lt;&gt;"",H64,IF($D$37&lt;&gt;"",$D$37,IF((IF(H63="",IF($D$35="",0,$D$35),H63))=0,0,H53/(IF(H63="",IF($D$35="",0,$D$35),H63)))))))*(IF(H63="",IF($D$35="",0,$D$35),H63))))</f>
        <v/>
      </c>
      <c r="T95" s="75" t="str">
        <f aca="false">IF(R95="","",R95+S95)</f>
        <v/>
      </c>
    </row>
    <row r="96" customFormat="false" ht="15" hidden="false" customHeight="false" outlineLevel="0" collapsed="false">
      <c r="A96" s="74" t="n">
        <v>10</v>
      </c>
      <c r="B96" s="75" t="n">
        <v>2657606</v>
      </c>
      <c r="C96" s="76" t="n">
        <v>75293</v>
      </c>
      <c r="D96" s="76" t="n">
        <v>0</v>
      </c>
      <c r="E96" s="76" t="n">
        <v>75293</v>
      </c>
      <c r="F96" s="75" t="n">
        <f aca="false">IF(D53="","",IF(10&gt;IF(D56="",10,D56),"",D53*(1+IF(D54="",0,D54))^ROUNDDOWN((10-1)/IF(D55="",5,D55),0)))</f>
        <v>69816.96</v>
      </c>
      <c r="G96" s="75" t="n">
        <f aca="false">IF(F96="","",IF((IF(D63="",IF($D$35="",0,$D$35),D63))=0,0,MAX(0,2657606.22-(IF(D64&lt;&gt;"",D64,IF($D$37&lt;&gt;"",$D$37,IF((IF(D63="",IF($D$35="",0,$D$35),D63))=0,0,D53/(IF(D63="",IF($D$35="",0,$D$35),D63)))))))*(IF(D63="",IF($D$35="",0,$D$35),D63))))</f>
        <v>0</v>
      </c>
      <c r="H96" s="75" t="n">
        <f aca="false">IF(F96="","",F96+G96)</f>
        <v>69816.96</v>
      </c>
      <c r="I96" s="75" t="str">
        <f aca="false">IF(E53="","",IF(10&gt;IF(E56="",10,E56),"",E53*(1+IF(E54="",0,E54))^ROUNDDOWN((10-1)/IF(E55="",5,E55),0)))</f>
        <v/>
      </c>
      <c r="J96" s="75" t="str">
        <f aca="false">IF(I96="","",IF((IF(E63="",IF($D$35="",0,$D$35),E63))=0,0,MAX(0,2657606.22-(IF(E64&lt;&gt;"",E64,IF($D$37&lt;&gt;"",$D$37,IF((IF(E63="",IF($D$35="",0,$D$35),E63))=0,0,E53/(IF(E63="",IF($D$35="",0,$D$35),E63)))))))*(IF(E63="",IF($D$35="",0,$D$35),E63))))</f>
        <v/>
      </c>
      <c r="K96" s="75" t="str">
        <f aca="false">IF(I96="","",I96+J96)</f>
        <v/>
      </c>
      <c r="L96" s="75" t="str">
        <f aca="false">IF(F53="","",IF(10&gt;IF(F56="",10,F56),"",F53*(1+IF(F54="",0,F54))^ROUNDDOWN((10-1)/IF(F55="",5,F55),0)))</f>
        <v/>
      </c>
      <c r="M96" s="75" t="str">
        <f aca="false">IF(L96="","",IF((IF(F63="",IF($D$35="",0,$D$35),F63))=0,0,MAX(0,2657606.22-(IF(F64&lt;&gt;"",F64,IF($D$37&lt;&gt;"",$D$37,IF((IF(F63="",IF($D$35="",0,$D$35),F63))=0,0,F53/(IF(F63="",IF($D$35="",0,$D$35),F63)))))))*(IF(F63="",IF($D$35="",0,$D$35),F63))))</f>
        <v/>
      </c>
      <c r="N96" s="75" t="str">
        <f aca="false">IF(L96="","",L96+M96)</f>
        <v/>
      </c>
      <c r="O96" s="75" t="str">
        <f aca="false">IF(G53="","",IF(10&gt;IF(G56="",10,G56),"",G53*(1+IF(G54="",0,G54))^ROUNDDOWN((10-1)/IF(G55="",5,G55),0)))</f>
        <v/>
      </c>
      <c r="P96" s="75" t="str">
        <f aca="false">IF(O96="","",IF((IF(G63="",IF($D$35="",0,$D$35),G63))=0,0,MAX(0,2657606.22-(IF(G64&lt;&gt;"",G64,IF($D$37&lt;&gt;"",$D$37,IF((IF(G63="",IF($D$35="",0,$D$35),G63))=0,0,G53/(IF(G63="",IF($D$35="",0,$D$35),G63)))))))*(IF(G63="",IF($D$35="",0,$D$35),G63))))</f>
        <v/>
      </c>
      <c r="Q96" s="75" t="str">
        <f aca="false">IF(O96="","",O96+P96)</f>
        <v/>
      </c>
      <c r="R96" s="75" t="str">
        <f aca="false">IF(H53="","",IF(10&gt;IF(H56="",10,H56),"",H53*(1+IF(H54="",0,H54))^ROUNDDOWN((10-1)/IF(H55="",5,H55),0)))</f>
        <v/>
      </c>
      <c r="S96" s="75" t="str">
        <f aca="false">IF(R96="","",IF((IF(H63="",IF($D$35="",0,$D$35),H63))=0,0,MAX(0,2657606.22-(IF(H64&lt;&gt;"",H64,IF($D$37&lt;&gt;"",$D$37,IF((IF(H63="",IF($D$35="",0,$D$35),H63))=0,0,H53/(IF(H63="",IF($D$35="",0,$D$35),H63)))))))*(IF(H63="",IF($D$35="",0,$D$35),H63))))</f>
        <v/>
      </c>
      <c r="T96" s="75" t="str">
        <f aca="false">IF(R96="","",R96+S96)</f>
        <v/>
      </c>
    </row>
    <row r="97" customFormat="false" ht="15" hidden="false" customHeight="false" outlineLevel="0" collapsed="false">
      <c r="A97" s="74" t="n">
        <v>11</v>
      </c>
      <c r="B97" s="75" t="n">
        <v>2710758</v>
      </c>
      <c r="C97" s="76" t="n">
        <v>82822</v>
      </c>
      <c r="D97" s="76" t="n">
        <v>0</v>
      </c>
      <c r="E97" s="76" t="n">
        <v>82822</v>
      </c>
      <c r="F97" s="75" t="n">
        <f aca="false">IF(D53="","",IF(11&gt;IF(D56="",10,D56),"",D53*(1+IF(D54="",0,D54))^ROUNDDOWN((11-1)/IF(D55="",5,D55),0)))</f>
        <v>71213.2992</v>
      </c>
      <c r="G97" s="75" t="n">
        <f aca="false">IF(F97="","",IF((IF(D63="",IF($D$35="",0,$D$35),D63))=0,0,MAX(0,2710758.35-(IF(D64&lt;&gt;"",D64,IF($D$37&lt;&gt;"",$D$37,IF((IF(D63="",IF($D$35="",0,$D$35),D63))=0,0,D53/(IF(D63="",IF($D$35="",0,$D$35),D63)))))))*(IF(D63="",IF($D$35="",0,$D$35),D63))))</f>
        <v>0</v>
      </c>
      <c r="H97" s="75" t="n">
        <f aca="false">IF(F97="","",F97+G97)</f>
        <v>71213.2992</v>
      </c>
      <c r="I97" s="75" t="str">
        <f aca="false">IF(E53="","",IF(11&gt;IF(E56="",10,E56),"",E53*(1+IF(E54="",0,E54))^ROUNDDOWN((11-1)/IF(E55="",5,E55),0)))</f>
        <v/>
      </c>
      <c r="J97" s="75" t="str">
        <f aca="false">IF(I97="","",IF((IF(E63="",IF($D$35="",0,$D$35),E63))=0,0,MAX(0,2710758.35-(IF(E64&lt;&gt;"",E64,IF($D$37&lt;&gt;"",$D$37,IF((IF(E63="",IF($D$35="",0,$D$35),E63))=0,0,E53/(IF(E63="",IF($D$35="",0,$D$35),E63)))))))*(IF(E63="",IF($D$35="",0,$D$35),E63))))</f>
        <v/>
      </c>
      <c r="K97" s="75" t="str">
        <f aca="false">IF(I97="","",I97+J97)</f>
        <v/>
      </c>
      <c r="L97" s="75" t="str">
        <f aca="false">IF(F53="","",IF(11&gt;IF(F56="",10,F56),"",F53*(1+IF(F54="",0,F54))^ROUNDDOWN((11-1)/IF(F55="",5,F55),0)))</f>
        <v/>
      </c>
      <c r="M97" s="75" t="str">
        <f aca="false">IF(L97="","",IF((IF(F63="",IF($D$35="",0,$D$35),F63))=0,0,MAX(0,2710758.35-(IF(F64&lt;&gt;"",F64,IF($D$37&lt;&gt;"",$D$37,IF((IF(F63="",IF($D$35="",0,$D$35),F63))=0,0,F53/(IF(F63="",IF($D$35="",0,$D$35),F63)))))))*(IF(F63="",IF($D$35="",0,$D$35),F63))))</f>
        <v/>
      </c>
      <c r="N97" s="75" t="str">
        <f aca="false">IF(L97="","",L97+M97)</f>
        <v/>
      </c>
      <c r="O97" s="75" t="str">
        <f aca="false">IF(G53="","",IF(11&gt;IF(G56="",10,G56),"",G53*(1+IF(G54="",0,G54))^ROUNDDOWN((11-1)/IF(G55="",5,G55),0)))</f>
        <v/>
      </c>
      <c r="P97" s="75" t="str">
        <f aca="false">IF(O97="","",IF((IF(G63="",IF($D$35="",0,$D$35),G63))=0,0,MAX(0,2710758.35-(IF(G64&lt;&gt;"",G64,IF($D$37&lt;&gt;"",$D$37,IF((IF(G63="",IF($D$35="",0,$D$35),G63))=0,0,G53/(IF(G63="",IF($D$35="",0,$D$35),G63)))))))*(IF(G63="",IF($D$35="",0,$D$35),G63))))</f>
        <v/>
      </c>
      <c r="Q97" s="75" t="str">
        <f aca="false">IF(O97="","",O97+P97)</f>
        <v/>
      </c>
      <c r="R97" s="75" t="str">
        <f aca="false">IF(H53="","",IF(11&gt;IF(H56="",10,H56),"",H53*(1+IF(H54="",0,H54))^ROUNDDOWN((11-1)/IF(H55="",5,H55),0)))</f>
        <v/>
      </c>
      <c r="S97" s="75" t="str">
        <f aca="false">IF(R97="","",IF((IF(H63="",IF($D$35="",0,$D$35),H63))=0,0,MAX(0,2710758.35-(IF(H64&lt;&gt;"",H64,IF($D$37&lt;&gt;"",$D$37,IF((IF(H63="",IF($D$35="",0,$D$35),H63))=0,0,H53/(IF(H63="",IF($D$35="",0,$D$35),H63)))))))*(IF(H63="",IF($D$35="",0,$D$35),H63))))</f>
        <v/>
      </c>
      <c r="T97" s="75" t="str">
        <f aca="false">IF(R97="","",R97+S97)</f>
        <v/>
      </c>
    </row>
    <row r="98" customFormat="false" ht="15" hidden="false" customHeight="false" outlineLevel="0" collapsed="false">
      <c r="A98" s="74" t="n">
        <v>12</v>
      </c>
      <c r="B98" s="75" t="n">
        <v>2764974</v>
      </c>
      <c r="C98" s="76" t="n">
        <v>82822</v>
      </c>
      <c r="D98" s="76" t="n">
        <v>0</v>
      </c>
      <c r="E98" s="76" t="n">
        <v>82822</v>
      </c>
      <c r="F98" s="75" t="n">
        <f aca="false">IF(D53="","",IF(12&gt;IF(D56="",10,D56),"",D53*(1+IF(D54="",0,D54))^ROUNDDOWN((12-1)/IF(D55="",5,D55),0)))</f>
        <v>71213.2992</v>
      </c>
      <c r="G98" s="75" t="n">
        <f aca="false">IF(F98="","",IF((IF(D63="",IF($D$35="",0,$D$35),D63))=0,0,MAX(0,2764973.51-(IF(D64&lt;&gt;"",D64,IF($D$37&lt;&gt;"",$D$37,IF((IF(D63="",IF($D$35="",0,$D$35),D63))=0,0,D53/(IF(D63="",IF($D$35="",0,$D$35),D63)))))))*(IF(D63="",IF($D$35="",0,$D$35),D63))))</f>
        <v>0</v>
      </c>
      <c r="H98" s="75" t="n">
        <f aca="false">IF(F98="","",F98+G98)</f>
        <v>71213.2992</v>
      </c>
      <c r="I98" s="75" t="str">
        <f aca="false">IF(E53="","",IF(12&gt;IF(E56="",10,E56),"",E53*(1+IF(E54="",0,E54))^ROUNDDOWN((12-1)/IF(E55="",5,E55),0)))</f>
        <v/>
      </c>
      <c r="J98" s="75" t="str">
        <f aca="false">IF(I98="","",IF((IF(E63="",IF($D$35="",0,$D$35),E63))=0,0,MAX(0,2764973.51-(IF(E64&lt;&gt;"",E64,IF($D$37&lt;&gt;"",$D$37,IF((IF(E63="",IF($D$35="",0,$D$35),E63))=0,0,E53/(IF(E63="",IF($D$35="",0,$D$35),E63)))))))*(IF(E63="",IF($D$35="",0,$D$35),E63))))</f>
        <v/>
      </c>
      <c r="K98" s="75" t="str">
        <f aca="false">IF(I98="","",I98+J98)</f>
        <v/>
      </c>
      <c r="L98" s="75" t="str">
        <f aca="false">IF(F53="","",IF(12&gt;IF(F56="",10,F56),"",F53*(1+IF(F54="",0,F54))^ROUNDDOWN((12-1)/IF(F55="",5,F55),0)))</f>
        <v/>
      </c>
      <c r="M98" s="75" t="str">
        <f aca="false">IF(L98="","",IF((IF(F63="",IF($D$35="",0,$D$35),F63))=0,0,MAX(0,2764973.51-(IF(F64&lt;&gt;"",F64,IF($D$37&lt;&gt;"",$D$37,IF((IF(F63="",IF($D$35="",0,$D$35),F63))=0,0,F53/(IF(F63="",IF($D$35="",0,$D$35),F63)))))))*(IF(F63="",IF($D$35="",0,$D$35),F63))))</f>
        <v/>
      </c>
      <c r="N98" s="75" t="str">
        <f aca="false">IF(L98="","",L98+M98)</f>
        <v/>
      </c>
      <c r="O98" s="75" t="str">
        <f aca="false">IF(G53="","",IF(12&gt;IF(G56="",10,G56),"",G53*(1+IF(G54="",0,G54))^ROUNDDOWN((12-1)/IF(G55="",5,G55),0)))</f>
        <v/>
      </c>
      <c r="P98" s="75" t="str">
        <f aca="false">IF(O98="","",IF((IF(G63="",IF($D$35="",0,$D$35),G63))=0,0,MAX(0,2764973.51-(IF(G64&lt;&gt;"",G64,IF($D$37&lt;&gt;"",$D$37,IF((IF(G63="",IF($D$35="",0,$D$35),G63))=0,0,G53/(IF(G63="",IF($D$35="",0,$D$35),G63)))))))*(IF(G63="",IF($D$35="",0,$D$35),G63))))</f>
        <v/>
      </c>
      <c r="Q98" s="75" t="str">
        <f aca="false">IF(O98="","",O98+P98)</f>
        <v/>
      </c>
      <c r="R98" s="75" t="str">
        <f aca="false">IF(H53="","",IF(12&gt;IF(H56="",10,H56),"",H53*(1+IF(H54="",0,H54))^ROUNDDOWN((12-1)/IF(H55="",5,H55),0)))</f>
        <v/>
      </c>
      <c r="S98" s="75" t="str">
        <f aca="false">IF(R98="","",IF((IF(H63="",IF($D$35="",0,$D$35),H63))=0,0,MAX(0,2764973.51-(IF(H64&lt;&gt;"",H64,IF($D$37&lt;&gt;"",$D$37,IF((IF(H63="",IF($D$35="",0,$D$35),H63))=0,0,H53/(IF(H63="",IF($D$35="",0,$D$35),H63)))))))*(IF(H63="",IF($D$35="",0,$D$35),H63))))</f>
        <v/>
      </c>
      <c r="T98" s="75" t="str">
        <f aca="false">IF(R98="","",R98+S98)</f>
        <v/>
      </c>
    </row>
    <row r="99" customFormat="false" ht="15" hidden="false" customHeight="false" outlineLevel="0" collapsed="false">
      <c r="A99" s="74" t="n">
        <v>13</v>
      </c>
      <c r="B99" s="75" t="n">
        <v>2820273</v>
      </c>
      <c r="C99" s="76" t="n">
        <v>82822</v>
      </c>
      <c r="D99" s="76" t="n">
        <v>0</v>
      </c>
      <c r="E99" s="76" t="n">
        <v>82822</v>
      </c>
      <c r="F99" s="75" t="n">
        <f aca="false">IF(D53="","",IF(13&gt;IF(D56="",10,D56),"",D53*(1+IF(D54="",0,D54))^ROUNDDOWN((13-1)/IF(D55="",5,D55),0)))</f>
        <v>71213.2992</v>
      </c>
      <c r="G99" s="75" t="n">
        <f aca="false">IF(F99="","",IF((IF(D63="",IF($D$35="",0,$D$35),D63))=0,0,MAX(0,2820272.98-(IF(D64&lt;&gt;"",D64,IF($D$37&lt;&gt;"",$D$37,IF((IF(D63="",IF($D$35="",0,$D$35),D63))=0,0,D53/(IF(D63="",IF($D$35="",0,$D$35),D63)))))))*(IF(D63="",IF($D$35="",0,$D$35),D63))))</f>
        <v>0</v>
      </c>
      <c r="H99" s="75" t="n">
        <f aca="false">IF(F99="","",F99+G99)</f>
        <v>71213.2992</v>
      </c>
      <c r="I99" s="75" t="str">
        <f aca="false">IF(E53="","",IF(13&gt;IF(E56="",10,E56),"",E53*(1+IF(E54="",0,E54))^ROUNDDOWN((13-1)/IF(E55="",5,E55),0)))</f>
        <v/>
      </c>
      <c r="J99" s="75" t="str">
        <f aca="false">IF(I99="","",IF((IF(E63="",IF($D$35="",0,$D$35),E63))=0,0,MAX(0,2820272.98-(IF(E64&lt;&gt;"",E64,IF($D$37&lt;&gt;"",$D$37,IF((IF(E63="",IF($D$35="",0,$D$35),E63))=0,0,E53/(IF(E63="",IF($D$35="",0,$D$35),E63)))))))*(IF(E63="",IF($D$35="",0,$D$35),E63))))</f>
        <v/>
      </c>
      <c r="K99" s="75" t="str">
        <f aca="false">IF(I99="","",I99+J99)</f>
        <v/>
      </c>
      <c r="L99" s="75" t="str">
        <f aca="false">IF(F53="","",IF(13&gt;IF(F56="",10,F56),"",F53*(1+IF(F54="",0,F54))^ROUNDDOWN((13-1)/IF(F55="",5,F55),0)))</f>
        <v/>
      </c>
      <c r="M99" s="75" t="str">
        <f aca="false">IF(L99="","",IF((IF(F63="",IF($D$35="",0,$D$35),F63))=0,0,MAX(0,2820272.98-(IF(F64&lt;&gt;"",F64,IF($D$37&lt;&gt;"",$D$37,IF((IF(F63="",IF($D$35="",0,$D$35),F63))=0,0,F53/(IF(F63="",IF($D$35="",0,$D$35),F63)))))))*(IF(F63="",IF($D$35="",0,$D$35),F63))))</f>
        <v/>
      </c>
      <c r="N99" s="75" t="str">
        <f aca="false">IF(L99="","",L99+M99)</f>
        <v/>
      </c>
      <c r="O99" s="75" t="str">
        <f aca="false">IF(G53="","",IF(13&gt;IF(G56="",10,G56),"",G53*(1+IF(G54="",0,G54))^ROUNDDOWN((13-1)/IF(G55="",5,G55),0)))</f>
        <v/>
      </c>
      <c r="P99" s="75" t="str">
        <f aca="false">IF(O99="","",IF((IF(G63="",IF($D$35="",0,$D$35),G63))=0,0,MAX(0,2820272.98-(IF(G64&lt;&gt;"",G64,IF($D$37&lt;&gt;"",$D$37,IF((IF(G63="",IF($D$35="",0,$D$35),G63))=0,0,G53/(IF(G63="",IF($D$35="",0,$D$35),G63)))))))*(IF(G63="",IF($D$35="",0,$D$35),G63))))</f>
        <v/>
      </c>
      <c r="Q99" s="75" t="str">
        <f aca="false">IF(O99="","",O99+P99)</f>
        <v/>
      </c>
      <c r="R99" s="75" t="str">
        <f aca="false">IF(H53="","",IF(13&gt;IF(H56="",10,H56),"",H53*(1+IF(H54="",0,H54))^ROUNDDOWN((13-1)/IF(H55="",5,H55),0)))</f>
        <v/>
      </c>
      <c r="S99" s="75" t="str">
        <f aca="false">IF(R99="","",IF((IF(H63="",IF($D$35="",0,$D$35),H63))=0,0,MAX(0,2820272.98-(IF(H64&lt;&gt;"",H64,IF($D$37&lt;&gt;"",$D$37,IF((IF(H63="",IF($D$35="",0,$D$35),H63))=0,0,H53/(IF(H63="",IF($D$35="",0,$D$35),H63)))))))*(IF(H63="",IF($D$35="",0,$D$35),H63))))</f>
        <v/>
      </c>
      <c r="T99" s="75" t="str">
        <f aca="false">IF(R99="","",R99+S99)</f>
        <v/>
      </c>
    </row>
    <row r="100" customFormat="false" ht="15" hidden="false" customHeight="false" outlineLevel="0" collapsed="false">
      <c r="A100" s="74" t="n">
        <v>14</v>
      </c>
      <c r="B100" s="75" t="n">
        <v>2876678</v>
      </c>
      <c r="C100" s="76" t="n">
        <v>82822</v>
      </c>
      <c r="D100" s="76" t="n">
        <v>0</v>
      </c>
      <c r="E100" s="76" t="n">
        <v>82822</v>
      </c>
      <c r="F100" s="75" t="n">
        <f aca="false">IF(D53="","",IF(14&gt;IF(D56="",10,D56),"",D53*(1+IF(D54="",0,D54))^ROUNDDOWN((14-1)/IF(D55="",5,D55),0)))</f>
        <v>71213.2992</v>
      </c>
      <c r="G100" s="75" t="n">
        <f aca="false">IF(F100="","",IF((IF(D63="",IF($D$35="",0,$D$35),D63))=0,0,MAX(0,2876678.44-(IF(D64&lt;&gt;"",D64,IF($D$37&lt;&gt;"",$D$37,IF((IF(D63="",IF($D$35="",0,$D$35),D63))=0,0,D53/(IF(D63="",IF($D$35="",0,$D$35),D63)))))))*(IF(D63="",IF($D$35="",0,$D$35),D63))))</f>
        <v>0</v>
      </c>
      <c r="H100" s="75" t="n">
        <f aca="false">IF(F100="","",F100+G100)</f>
        <v>71213.2992</v>
      </c>
      <c r="I100" s="75" t="str">
        <f aca="false">IF(E53="","",IF(14&gt;IF(E56="",10,E56),"",E53*(1+IF(E54="",0,E54))^ROUNDDOWN((14-1)/IF(E55="",5,E55),0)))</f>
        <v/>
      </c>
      <c r="J100" s="75" t="str">
        <f aca="false">IF(I100="","",IF((IF(E63="",IF($D$35="",0,$D$35),E63))=0,0,MAX(0,2876678.44-(IF(E64&lt;&gt;"",E64,IF($D$37&lt;&gt;"",$D$37,IF((IF(E63="",IF($D$35="",0,$D$35),E63))=0,0,E53/(IF(E63="",IF($D$35="",0,$D$35),E63)))))))*(IF(E63="",IF($D$35="",0,$D$35),E63))))</f>
        <v/>
      </c>
      <c r="K100" s="75" t="str">
        <f aca="false">IF(I100="","",I100+J100)</f>
        <v/>
      </c>
      <c r="L100" s="75" t="str">
        <f aca="false">IF(F53="","",IF(14&gt;IF(F56="",10,F56),"",F53*(1+IF(F54="",0,F54))^ROUNDDOWN((14-1)/IF(F55="",5,F55),0)))</f>
        <v/>
      </c>
      <c r="M100" s="75" t="str">
        <f aca="false">IF(L100="","",IF((IF(F63="",IF($D$35="",0,$D$35),F63))=0,0,MAX(0,2876678.44-(IF(F64&lt;&gt;"",F64,IF($D$37&lt;&gt;"",$D$37,IF((IF(F63="",IF($D$35="",0,$D$35),F63))=0,0,F53/(IF(F63="",IF($D$35="",0,$D$35),F63)))))))*(IF(F63="",IF($D$35="",0,$D$35),F63))))</f>
        <v/>
      </c>
      <c r="N100" s="75" t="str">
        <f aca="false">IF(L100="","",L100+M100)</f>
        <v/>
      </c>
      <c r="O100" s="75" t="str">
        <f aca="false">IF(G53="","",IF(14&gt;IF(G56="",10,G56),"",G53*(1+IF(G54="",0,G54))^ROUNDDOWN((14-1)/IF(G55="",5,G55),0)))</f>
        <v/>
      </c>
      <c r="P100" s="75" t="str">
        <f aca="false">IF(O100="","",IF((IF(G63="",IF($D$35="",0,$D$35),G63))=0,0,MAX(0,2876678.44-(IF(G64&lt;&gt;"",G64,IF($D$37&lt;&gt;"",$D$37,IF((IF(G63="",IF($D$35="",0,$D$35),G63))=0,0,G53/(IF(G63="",IF($D$35="",0,$D$35),G63)))))))*(IF(G63="",IF($D$35="",0,$D$35),G63))))</f>
        <v/>
      </c>
      <c r="Q100" s="75" t="str">
        <f aca="false">IF(O100="","",O100+P100)</f>
        <v/>
      </c>
      <c r="R100" s="75" t="str">
        <f aca="false">IF(H53="","",IF(14&gt;IF(H56="",10,H56),"",H53*(1+IF(H54="",0,H54))^ROUNDDOWN((14-1)/IF(H55="",5,H55),0)))</f>
        <v/>
      </c>
      <c r="S100" s="75" t="str">
        <f aca="false">IF(R100="","",IF((IF(H63="",IF($D$35="",0,$D$35),H63))=0,0,MAX(0,2876678.44-(IF(H64&lt;&gt;"",H64,IF($D$37&lt;&gt;"",$D$37,IF((IF(H63="",IF($D$35="",0,$D$35),H63))=0,0,H53/(IF(H63="",IF($D$35="",0,$D$35),H63)))))))*(IF(H63="",IF($D$35="",0,$D$35),H63))))</f>
        <v/>
      </c>
      <c r="T100" s="75" t="str">
        <f aca="false">IF(R100="","",R100+S100)</f>
        <v/>
      </c>
    </row>
    <row r="101" customFormat="false" ht="15" hidden="false" customHeight="false" outlineLevel="0" collapsed="false">
      <c r="A101" s="74" t="n">
        <v>15</v>
      </c>
      <c r="B101" s="75" t="n">
        <v>2934212</v>
      </c>
      <c r="C101" s="76" t="n">
        <v>82822</v>
      </c>
      <c r="D101" s="76" t="n">
        <v>0</v>
      </c>
      <c r="E101" s="76" t="n">
        <v>82822</v>
      </c>
      <c r="F101" s="75" t="n">
        <f aca="false">IF(D53="","",IF(15&gt;IF(D56="",10,D56),"",D53*(1+IF(D54="",0,D54))^ROUNDDOWN((15-1)/IF(D55="",5,D55),0)))</f>
        <v>71213.2992</v>
      </c>
      <c r="G101" s="75" t="n">
        <f aca="false">IF(F101="","",IF((IF(D63="",IF($D$35="",0,$D$35),D63))=0,0,MAX(0,2934212.01-(IF(D64&lt;&gt;"",D64,IF($D$37&lt;&gt;"",$D$37,IF((IF(D63="",IF($D$35="",0,$D$35),D63))=0,0,D53/(IF(D63="",IF($D$35="",0,$D$35),D63)))))))*(IF(D63="",IF($D$35="",0,$D$35),D63))))</f>
        <v>0</v>
      </c>
      <c r="H101" s="75" t="n">
        <f aca="false">IF(F101="","",F101+G101)</f>
        <v>71213.2992</v>
      </c>
      <c r="I101" s="75" t="str">
        <f aca="false">IF(E53="","",IF(15&gt;IF(E56="",10,E56),"",E53*(1+IF(E54="",0,E54))^ROUNDDOWN((15-1)/IF(E55="",5,E55),0)))</f>
        <v/>
      </c>
      <c r="J101" s="75" t="str">
        <f aca="false">IF(I101="","",IF((IF(E63="",IF($D$35="",0,$D$35),E63))=0,0,MAX(0,2934212.01-(IF(E64&lt;&gt;"",E64,IF($D$37&lt;&gt;"",$D$37,IF((IF(E63="",IF($D$35="",0,$D$35),E63))=0,0,E53/(IF(E63="",IF($D$35="",0,$D$35),E63)))))))*(IF(E63="",IF($D$35="",0,$D$35),E63))))</f>
        <v/>
      </c>
      <c r="K101" s="75" t="str">
        <f aca="false">IF(I101="","",I101+J101)</f>
        <v/>
      </c>
      <c r="L101" s="75" t="str">
        <f aca="false">IF(F53="","",IF(15&gt;IF(F56="",10,F56),"",F53*(1+IF(F54="",0,F54))^ROUNDDOWN((15-1)/IF(F55="",5,F55),0)))</f>
        <v/>
      </c>
      <c r="M101" s="75" t="str">
        <f aca="false">IF(L101="","",IF((IF(F63="",IF($D$35="",0,$D$35),F63))=0,0,MAX(0,2934212.01-(IF(F64&lt;&gt;"",F64,IF($D$37&lt;&gt;"",$D$37,IF((IF(F63="",IF($D$35="",0,$D$35),F63))=0,0,F53/(IF(F63="",IF($D$35="",0,$D$35),F63)))))))*(IF(F63="",IF($D$35="",0,$D$35),F63))))</f>
        <v/>
      </c>
      <c r="N101" s="75" t="str">
        <f aca="false">IF(L101="","",L101+M101)</f>
        <v/>
      </c>
      <c r="O101" s="75" t="str">
        <f aca="false">IF(G53="","",IF(15&gt;IF(G56="",10,G56),"",G53*(1+IF(G54="",0,G54))^ROUNDDOWN((15-1)/IF(G55="",5,G55),0)))</f>
        <v/>
      </c>
      <c r="P101" s="75" t="str">
        <f aca="false">IF(O101="","",IF((IF(G63="",IF($D$35="",0,$D$35),G63))=0,0,MAX(0,2934212.01-(IF(G64&lt;&gt;"",G64,IF($D$37&lt;&gt;"",$D$37,IF((IF(G63="",IF($D$35="",0,$D$35),G63))=0,0,G53/(IF(G63="",IF($D$35="",0,$D$35),G63)))))))*(IF(G63="",IF($D$35="",0,$D$35),G63))))</f>
        <v/>
      </c>
      <c r="Q101" s="75" t="str">
        <f aca="false">IF(O101="","",O101+P101)</f>
        <v/>
      </c>
      <c r="R101" s="75" t="str">
        <f aca="false">IF(H53="","",IF(15&gt;IF(H56="",10,H56),"",H53*(1+IF(H54="",0,H54))^ROUNDDOWN((15-1)/IF(H55="",5,H55),0)))</f>
        <v/>
      </c>
      <c r="S101" s="75" t="str">
        <f aca="false">IF(R101="","",IF((IF(H63="",IF($D$35="",0,$D$35),H63))=0,0,MAX(0,2934212.01-(IF(H64&lt;&gt;"",H64,IF($D$37&lt;&gt;"",$D$37,IF((IF(H63="",IF($D$35="",0,$D$35),H63))=0,0,H53/(IF(H63="",IF($D$35="",0,$D$35),H63)))))))*(IF(H63="",IF($D$35="",0,$D$35),H63))))</f>
        <v/>
      </c>
      <c r="T101" s="75" t="str">
        <f aca="false">IF(R101="","",R101+S101)</f>
        <v/>
      </c>
    </row>
    <row r="102" customFormat="false" ht="15" hidden="false" customHeight="false" outlineLevel="0" collapsed="false">
      <c r="A102" s="74" t="n">
        <v>16</v>
      </c>
      <c r="B102" s="75" t="n">
        <v>2992896</v>
      </c>
      <c r="C102" s="76" t="n">
        <v>91104</v>
      </c>
      <c r="D102" s="76" t="n">
        <v>0</v>
      </c>
      <c r="E102" s="76" t="n">
        <v>91104</v>
      </c>
      <c r="F102" s="75" t="n">
        <f aca="false">IF(D53="","",IF(16&gt;IF(D56="",10,D56),"",D53*(1+IF(D54="",0,D54))^ROUNDDOWN((16-1)/IF(D55="",5,D55),0)))</f>
        <v>72637.565184</v>
      </c>
      <c r="G102" s="75" t="n">
        <f aca="false">IF(F102="","",IF((IF(D63="",IF($D$35="",0,$D$35),D63))=0,0,MAX(0,2992896.25-(IF(D64&lt;&gt;"",D64,IF($D$37&lt;&gt;"",$D$37,IF((IF(D63="",IF($D$35="",0,$D$35),D63))=0,0,D53/(IF(D63="",IF($D$35="",0,$D$35),D63)))))))*(IF(D63="",IF($D$35="",0,$D$35),D63))))</f>
        <v>0</v>
      </c>
      <c r="H102" s="75" t="n">
        <f aca="false">IF(F102="","",F102+G102)</f>
        <v>72637.565184</v>
      </c>
      <c r="I102" s="75" t="str">
        <f aca="false">IF(E53="","",IF(16&gt;IF(E56="",10,E56),"",E53*(1+IF(E54="",0,E54))^ROUNDDOWN((16-1)/IF(E55="",5,E55),0)))</f>
        <v/>
      </c>
      <c r="J102" s="75" t="str">
        <f aca="false">IF(I102="","",IF((IF(E63="",IF($D$35="",0,$D$35),E63))=0,0,MAX(0,2992896.25-(IF(E64&lt;&gt;"",E64,IF($D$37&lt;&gt;"",$D$37,IF((IF(E63="",IF($D$35="",0,$D$35),E63))=0,0,E53/(IF(E63="",IF($D$35="",0,$D$35),E63)))))))*(IF(E63="",IF($D$35="",0,$D$35),E63))))</f>
        <v/>
      </c>
      <c r="K102" s="75" t="str">
        <f aca="false">IF(I102="","",I102+J102)</f>
        <v/>
      </c>
      <c r="L102" s="75" t="str">
        <f aca="false">IF(F53="","",IF(16&gt;IF(F56="",10,F56),"",F53*(1+IF(F54="",0,F54))^ROUNDDOWN((16-1)/IF(F55="",5,F55),0)))</f>
        <v/>
      </c>
      <c r="M102" s="75" t="str">
        <f aca="false">IF(L102="","",IF((IF(F63="",IF($D$35="",0,$D$35),F63))=0,0,MAX(0,2992896.25-(IF(F64&lt;&gt;"",F64,IF($D$37&lt;&gt;"",$D$37,IF((IF(F63="",IF($D$35="",0,$D$35),F63))=0,0,F53/(IF(F63="",IF($D$35="",0,$D$35),F63)))))))*(IF(F63="",IF($D$35="",0,$D$35),F63))))</f>
        <v/>
      </c>
      <c r="N102" s="75" t="str">
        <f aca="false">IF(L102="","",L102+M102)</f>
        <v/>
      </c>
      <c r="O102" s="75" t="str">
        <f aca="false">IF(G53="","",IF(16&gt;IF(G56="",10,G56),"",G53*(1+IF(G54="",0,G54))^ROUNDDOWN((16-1)/IF(G55="",5,G55),0)))</f>
        <v/>
      </c>
      <c r="P102" s="75" t="str">
        <f aca="false">IF(O102="","",IF((IF(G63="",IF($D$35="",0,$D$35),G63))=0,0,MAX(0,2992896.25-(IF(G64&lt;&gt;"",G64,IF($D$37&lt;&gt;"",$D$37,IF((IF(G63="",IF($D$35="",0,$D$35),G63))=0,0,G53/(IF(G63="",IF($D$35="",0,$D$35),G63)))))))*(IF(G63="",IF($D$35="",0,$D$35),G63))))</f>
        <v/>
      </c>
      <c r="Q102" s="75" t="str">
        <f aca="false">IF(O102="","",O102+P102)</f>
        <v/>
      </c>
      <c r="R102" s="75" t="str">
        <f aca="false">IF(H53="","",IF(16&gt;IF(H56="",10,H56),"",H53*(1+IF(H54="",0,H54))^ROUNDDOWN((16-1)/IF(H55="",5,H55),0)))</f>
        <v/>
      </c>
      <c r="S102" s="75" t="str">
        <f aca="false">IF(R102="","",IF((IF(H63="",IF($D$35="",0,$D$35),H63))=0,0,MAX(0,2992896.25-(IF(H64&lt;&gt;"",H64,IF($D$37&lt;&gt;"",$D$37,IF((IF(H63="",IF($D$35="",0,$D$35),H63))=0,0,H53/(IF(H63="",IF($D$35="",0,$D$35),H63)))))))*(IF(H63="",IF($D$35="",0,$D$35),H63))))</f>
        <v/>
      </c>
      <c r="T102" s="75" t="str">
        <f aca="false">IF(R102="","",R102+S102)</f>
        <v/>
      </c>
    </row>
    <row r="103" customFormat="false" ht="15" hidden="false" customHeight="false" outlineLevel="0" collapsed="false">
      <c r="A103" s="74" t="n">
        <v>17</v>
      </c>
      <c r="B103" s="75" t="n">
        <v>3052754</v>
      </c>
      <c r="C103" s="76" t="n">
        <v>91104</v>
      </c>
      <c r="D103" s="76" t="n">
        <v>0</v>
      </c>
      <c r="E103" s="76" t="n">
        <v>91104</v>
      </c>
      <c r="F103" s="75" t="n">
        <f aca="false">IF(D53="","",IF(17&gt;IF(D56="",10,D56),"",D53*(1+IF(D54="",0,D54))^ROUNDDOWN((17-1)/IF(D55="",5,D55),0)))</f>
        <v>72637.565184</v>
      </c>
      <c r="G103" s="75" t="n">
        <f aca="false">IF(F103="","",IF((IF(D63="",IF($D$35="",0,$D$35),D63))=0,0,MAX(0,3052754.18-(IF(D64&lt;&gt;"",D64,IF($D$37&lt;&gt;"",$D$37,IF((IF(D63="",IF($D$35="",0,$D$35),D63))=0,0,D53/(IF(D63="",IF($D$35="",0,$D$35),D63)))))))*(IF(D63="",IF($D$35="",0,$D$35),D63))))</f>
        <v>0</v>
      </c>
      <c r="H103" s="75" t="n">
        <f aca="false">IF(F103="","",F103+G103)</f>
        <v>72637.565184</v>
      </c>
      <c r="I103" s="75" t="str">
        <f aca="false">IF(E53="","",IF(17&gt;IF(E56="",10,E56),"",E53*(1+IF(E54="",0,E54))^ROUNDDOWN((17-1)/IF(E55="",5,E55),0)))</f>
        <v/>
      </c>
      <c r="J103" s="75" t="str">
        <f aca="false">IF(I103="","",IF((IF(E63="",IF($D$35="",0,$D$35),E63))=0,0,MAX(0,3052754.18-(IF(E64&lt;&gt;"",E64,IF($D$37&lt;&gt;"",$D$37,IF((IF(E63="",IF($D$35="",0,$D$35),E63))=0,0,E53/(IF(E63="",IF($D$35="",0,$D$35),E63)))))))*(IF(E63="",IF($D$35="",0,$D$35),E63))))</f>
        <v/>
      </c>
      <c r="K103" s="75" t="str">
        <f aca="false">IF(I103="","",I103+J103)</f>
        <v/>
      </c>
      <c r="L103" s="75" t="str">
        <f aca="false">IF(F53="","",IF(17&gt;IF(F56="",10,F56),"",F53*(1+IF(F54="",0,F54))^ROUNDDOWN((17-1)/IF(F55="",5,F55),0)))</f>
        <v/>
      </c>
      <c r="M103" s="75" t="str">
        <f aca="false">IF(L103="","",IF((IF(F63="",IF($D$35="",0,$D$35),F63))=0,0,MAX(0,3052754.18-(IF(F64&lt;&gt;"",F64,IF($D$37&lt;&gt;"",$D$37,IF((IF(F63="",IF($D$35="",0,$D$35),F63))=0,0,F53/(IF(F63="",IF($D$35="",0,$D$35),F63)))))))*(IF(F63="",IF($D$35="",0,$D$35),F63))))</f>
        <v/>
      </c>
      <c r="N103" s="75" t="str">
        <f aca="false">IF(L103="","",L103+M103)</f>
        <v/>
      </c>
      <c r="O103" s="75" t="str">
        <f aca="false">IF(G53="","",IF(17&gt;IF(G56="",10,G56),"",G53*(1+IF(G54="",0,G54))^ROUNDDOWN((17-1)/IF(G55="",5,G55),0)))</f>
        <v/>
      </c>
      <c r="P103" s="75" t="str">
        <f aca="false">IF(O103="","",IF((IF(G63="",IF($D$35="",0,$D$35),G63))=0,0,MAX(0,3052754.18-(IF(G64&lt;&gt;"",G64,IF($D$37&lt;&gt;"",$D$37,IF((IF(G63="",IF($D$35="",0,$D$35),G63))=0,0,G53/(IF(G63="",IF($D$35="",0,$D$35),G63)))))))*(IF(G63="",IF($D$35="",0,$D$35),G63))))</f>
        <v/>
      </c>
      <c r="Q103" s="75" t="str">
        <f aca="false">IF(O103="","",O103+P103)</f>
        <v/>
      </c>
      <c r="R103" s="75" t="str">
        <f aca="false">IF(H53="","",IF(17&gt;IF(H56="",10,H56),"",H53*(1+IF(H54="",0,H54))^ROUNDDOWN((17-1)/IF(H55="",5,H55),0)))</f>
        <v/>
      </c>
      <c r="S103" s="75" t="str">
        <f aca="false">IF(R103="","",IF((IF(H63="",IF($D$35="",0,$D$35),H63))=0,0,MAX(0,3052754.18-(IF(H64&lt;&gt;"",H64,IF($D$37&lt;&gt;"",$D$37,IF((IF(H63="",IF($D$35="",0,$D$35),H63))=0,0,H53/(IF(H63="",IF($D$35="",0,$D$35),H63)))))))*(IF(H63="",IF($D$35="",0,$D$35),H63))))</f>
        <v/>
      </c>
      <c r="T103" s="75" t="str">
        <f aca="false">IF(R103="","",R103+S103)</f>
        <v/>
      </c>
    </row>
    <row r="104" customFormat="false" ht="15" hidden="false" customHeight="false" outlineLevel="0" collapsed="false">
      <c r="A104" s="74" t="n">
        <v>18</v>
      </c>
      <c r="B104" s="75" t="n">
        <v>3113809</v>
      </c>
      <c r="C104" s="76" t="n">
        <v>91104</v>
      </c>
      <c r="D104" s="76" t="n">
        <v>0</v>
      </c>
      <c r="E104" s="76" t="n">
        <v>91104</v>
      </c>
      <c r="F104" s="75" t="n">
        <f aca="false">IF(D53="","",IF(18&gt;IF(D56="",10,D56),"",D53*(1+IF(D54="",0,D54))^ROUNDDOWN((18-1)/IF(D55="",5,D55),0)))</f>
        <v>72637.565184</v>
      </c>
      <c r="G104" s="75" t="n">
        <f aca="false">IF(F104="","",IF((IF(D63="",IF($D$35="",0,$D$35),D63))=0,0,MAX(0,3113809.26-(IF(D64&lt;&gt;"",D64,IF($D$37&lt;&gt;"",$D$37,IF((IF(D63="",IF($D$35="",0,$D$35),D63))=0,0,D53/(IF(D63="",IF($D$35="",0,$D$35),D63)))))))*(IF(D63="",IF($D$35="",0,$D$35),D63))))</f>
        <v>0</v>
      </c>
      <c r="H104" s="75" t="n">
        <f aca="false">IF(F104="","",F104+G104)</f>
        <v>72637.565184</v>
      </c>
      <c r="I104" s="75" t="str">
        <f aca="false">IF(E53="","",IF(18&gt;IF(E56="",10,E56),"",E53*(1+IF(E54="",0,E54))^ROUNDDOWN((18-1)/IF(E55="",5,E55),0)))</f>
        <v/>
      </c>
      <c r="J104" s="75" t="str">
        <f aca="false">IF(I104="","",IF((IF(E63="",IF($D$35="",0,$D$35),E63))=0,0,MAX(0,3113809.26-(IF(E64&lt;&gt;"",E64,IF($D$37&lt;&gt;"",$D$37,IF((IF(E63="",IF($D$35="",0,$D$35),E63))=0,0,E53/(IF(E63="",IF($D$35="",0,$D$35),E63)))))))*(IF(E63="",IF($D$35="",0,$D$35),E63))))</f>
        <v/>
      </c>
      <c r="K104" s="75" t="str">
        <f aca="false">IF(I104="","",I104+J104)</f>
        <v/>
      </c>
      <c r="L104" s="75" t="str">
        <f aca="false">IF(F53="","",IF(18&gt;IF(F56="",10,F56),"",F53*(1+IF(F54="",0,F54))^ROUNDDOWN((18-1)/IF(F55="",5,F55),0)))</f>
        <v/>
      </c>
      <c r="M104" s="75" t="str">
        <f aca="false">IF(L104="","",IF((IF(F63="",IF($D$35="",0,$D$35),F63))=0,0,MAX(0,3113809.26-(IF(F64&lt;&gt;"",F64,IF($D$37&lt;&gt;"",$D$37,IF((IF(F63="",IF($D$35="",0,$D$35),F63))=0,0,F53/(IF(F63="",IF($D$35="",0,$D$35),F63)))))))*(IF(F63="",IF($D$35="",0,$D$35),F63))))</f>
        <v/>
      </c>
      <c r="N104" s="75" t="str">
        <f aca="false">IF(L104="","",L104+M104)</f>
        <v/>
      </c>
      <c r="O104" s="75" t="str">
        <f aca="false">IF(G53="","",IF(18&gt;IF(G56="",10,G56),"",G53*(1+IF(G54="",0,G54))^ROUNDDOWN((18-1)/IF(G55="",5,G55),0)))</f>
        <v/>
      </c>
      <c r="P104" s="75" t="str">
        <f aca="false">IF(O104="","",IF((IF(G63="",IF($D$35="",0,$D$35),G63))=0,0,MAX(0,3113809.26-(IF(G64&lt;&gt;"",G64,IF($D$37&lt;&gt;"",$D$37,IF((IF(G63="",IF($D$35="",0,$D$35),G63))=0,0,G53/(IF(G63="",IF($D$35="",0,$D$35),G63)))))))*(IF(G63="",IF($D$35="",0,$D$35),G63))))</f>
        <v/>
      </c>
      <c r="Q104" s="75" t="str">
        <f aca="false">IF(O104="","",O104+P104)</f>
        <v/>
      </c>
      <c r="R104" s="75" t="str">
        <f aca="false">IF(H53="","",IF(18&gt;IF(H56="",10,H56),"",H53*(1+IF(H54="",0,H54))^ROUNDDOWN((18-1)/IF(H55="",5,H55),0)))</f>
        <v/>
      </c>
      <c r="S104" s="75" t="str">
        <f aca="false">IF(R104="","",IF((IF(H63="",IF($D$35="",0,$D$35),H63))=0,0,MAX(0,3113809.26-(IF(H64&lt;&gt;"",H64,IF($D$37&lt;&gt;"",$D$37,IF((IF(H63="",IF($D$35="",0,$D$35),H63))=0,0,H53/(IF(H63="",IF($D$35="",0,$D$35),H63)))))))*(IF(H63="",IF($D$35="",0,$D$35),H63))))</f>
        <v/>
      </c>
      <c r="T104" s="75" t="str">
        <f aca="false">IF(R104="","",R104+S104)</f>
        <v/>
      </c>
    </row>
    <row r="105" customFormat="false" ht="15" hidden="false" customHeight="false" outlineLevel="0" collapsed="false">
      <c r="A105" s="74" t="n">
        <v>19</v>
      </c>
      <c r="B105" s="75" t="n">
        <v>3176085</v>
      </c>
      <c r="C105" s="76" t="n">
        <v>91104</v>
      </c>
      <c r="D105" s="76" t="n">
        <v>0</v>
      </c>
      <c r="E105" s="76" t="n">
        <v>91104</v>
      </c>
      <c r="F105" s="75" t="n">
        <f aca="false">IF(D53="","",IF(19&gt;IF(D56="",10,D56),"",D53*(1+IF(D54="",0,D54))^ROUNDDOWN((19-1)/IF(D55="",5,D55),0)))</f>
        <v>72637.565184</v>
      </c>
      <c r="G105" s="75" t="n">
        <f aca="false">IF(F105="","",IF((IF(D63="",IF($D$35="",0,$D$35),D63))=0,0,MAX(0,3176085.44-(IF(D64&lt;&gt;"",D64,IF($D$37&lt;&gt;"",$D$37,IF((IF(D63="",IF($D$35="",0,$D$35),D63))=0,0,D53/(IF(D63="",IF($D$35="",0,$D$35),D63)))))))*(IF(D63="",IF($D$35="",0,$D$35),D63))))</f>
        <v>0</v>
      </c>
      <c r="H105" s="75" t="n">
        <f aca="false">IF(F105="","",F105+G105)</f>
        <v>72637.565184</v>
      </c>
      <c r="I105" s="75" t="str">
        <f aca="false">IF(E53="","",IF(19&gt;IF(E56="",10,E56),"",E53*(1+IF(E54="",0,E54))^ROUNDDOWN((19-1)/IF(E55="",5,E55),0)))</f>
        <v/>
      </c>
      <c r="J105" s="75" t="str">
        <f aca="false">IF(I105="","",IF((IF(E63="",IF($D$35="",0,$D$35),E63))=0,0,MAX(0,3176085.44-(IF(E64&lt;&gt;"",E64,IF($D$37&lt;&gt;"",$D$37,IF((IF(E63="",IF($D$35="",0,$D$35),E63))=0,0,E53/(IF(E63="",IF($D$35="",0,$D$35),E63)))))))*(IF(E63="",IF($D$35="",0,$D$35),E63))))</f>
        <v/>
      </c>
      <c r="K105" s="75" t="str">
        <f aca="false">IF(I105="","",I105+J105)</f>
        <v/>
      </c>
      <c r="L105" s="75" t="str">
        <f aca="false">IF(F53="","",IF(19&gt;IF(F56="",10,F56),"",F53*(1+IF(F54="",0,F54))^ROUNDDOWN((19-1)/IF(F55="",5,F55),0)))</f>
        <v/>
      </c>
      <c r="M105" s="75" t="str">
        <f aca="false">IF(L105="","",IF((IF(F63="",IF($D$35="",0,$D$35),F63))=0,0,MAX(0,3176085.44-(IF(F64&lt;&gt;"",F64,IF($D$37&lt;&gt;"",$D$37,IF((IF(F63="",IF($D$35="",0,$D$35),F63))=0,0,F53/(IF(F63="",IF($D$35="",0,$D$35),F63)))))))*(IF(F63="",IF($D$35="",0,$D$35),F63))))</f>
        <v/>
      </c>
      <c r="N105" s="75" t="str">
        <f aca="false">IF(L105="","",L105+M105)</f>
        <v/>
      </c>
      <c r="O105" s="75" t="str">
        <f aca="false">IF(G53="","",IF(19&gt;IF(G56="",10,G56),"",G53*(1+IF(G54="",0,G54))^ROUNDDOWN((19-1)/IF(G55="",5,G55),0)))</f>
        <v/>
      </c>
      <c r="P105" s="75" t="str">
        <f aca="false">IF(O105="","",IF((IF(G63="",IF($D$35="",0,$D$35),G63))=0,0,MAX(0,3176085.44-(IF(G64&lt;&gt;"",G64,IF($D$37&lt;&gt;"",$D$37,IF((IF(G63="",IF($D$35="",0,$D$35),G63))=0,0,G53/(IF(G63="",IF($D$35="",0,$D$35),G63)))))))*(IF(G63="",IF($D$35="",0,$D$35),G63))))</f>
        <v/>
      </c>
      <c r="Q105" s="75" t="str">
        <f aca="false">IF(O105="","",O105+P105)</f>
        <v/>
      </c>
      <c r="R105" s="75" t="str">
        <f aca="false">IF(H53="","",IF(19&gt;IF(H56="",10,H56),"",H53*(1+IF(H54="",0,H54))^ROUNDDOWN((19-1)/IF(H55="",5,H55),0)))</f>
        <v/>
      </c>
      <c r="S105" s="75" t="str">
        <f aca="false">IF(R105="","",IF((IF(H63="",IF($D$35="",0,$D$35),H63))=0,0,MAX(0,3176085.44-(IF(H64&lt;&gt;"",H64,IF($D$37&lt;&gt;"",$D$37,IF((IF(H63="",IF($D$35="",0,$D$35),H63))=0,0,H53/(IF(H63="",IF($D$35="",0,$D$35),H63)))))))*(IF(H63="",IF($D$35="",0,$D$35),H63))))</f>
        <v/>
      </c>
      <c r="T105" s="75" t="str">
        <f aca="false">IF(R105="","",R105+S105)</f>
        <v/>
      </c>
    </row>
    <row r="106" customFormat="false" ht="15" hidden="false" customHeight="false" outlineLevel="0" collapsed="false">
      <c r="A106" s="74" t="n">
        <v>20</v>
      </c>
      <c r="B106" s="75" t="n">
        <v>3239607</v>
      </c>
      <c r="C106" s="76" t="n">
        <v>91104</v>
      </c>
      <c r="D106" s="76" t="n">
        <v>0</v>
      </c>
      <c r="E106" s="76" t="n">
        <v>91104</v>
      </c>
      <c r="F106" s="75" t="n">
        <f aca="false">IF(D53="","",IF(20&gt;IF(D56="",10,D56),"",D53*(1+IF(D54="",0,D54))^ROUNDDOWN((20-1)/IF(D55="",5,D55),0)))</f>
        <v>72637.565184</v>
      </c>
      <c r="G106" s="75" t="n">
        <f aca="false">IF(F106="","",IF((IF(D63="",IF($D$35="",0,$D$35),D63))=0,0,MAX(0,3239607.15-(IF(D64&lt;&gt;"",D64,IF($D$37&lt;&gt;"",$D$37,IF((IF(D63="",IF($D$35="",0,$D$35),D63))=0,0,D53/(IF(D63="",IF($D$35="",0,$D$35),D63)))))))*(IF(D63="",IF($D$35="",0,$D$35),D63))))</f>
        <v>0</v>
      </c>
      <c r="H106" s="75" t="n">
        <f aca="false">IF(F106="","",F106+G106)</f>
        <v>72637.565184</v>
      </c>
      <c r="I106" s="75" t="str">
        <f aca="false">IF(E53="","",IF(20&gt;IF(E56="",10,E56),"",E53*(1+IF(E54="",0,E54))^ROUNDDOWN((20-1)/IF(E55="",5,E55),0)))</f>
        <v/>
      </c>
      <c r="J106" s="75" t="str">
        <f aca="false">IF(I106="","",IF((IF(E63="",IF($D$35="",0,$D$35),E63))=0,0,MAX(0,3239607.15-(IF(E64&lt;&gt;"",E64,IF($D$37&lt;&gt;"",$D$37,IF((IF(E63="",IF($D$35="",0,$D$35),E63))=0,0,E53/(IF(E63="",IF($D$35="",0,$D$35),E63)))))))*(IF(E63="",IF($D$35="",0,$D$35),E63))))</f>
        <v/>
      </c>
      <c r="K106" s="75" t="str">
        <f aca="false">IF(I106="","",I106+J106)</f>
        <v/>
      </c>
      <c r="L106" s="75" t="str">
        <f aca="false">IF(F53="","",IF(20&gt;IF(F56="",10,F56),"",F53*(1+IF(F54="",0,F54))^ROUNDDOWN((20-1)/IF(F55="",5,F55),0)))</f>
        <v/>
      </c>
      <c r="M106" s="75" t="str">
        <f aca="false">IF(L106="","",IF((IF(F63="",IF($D$35="",0,$D$35),F63))=0,0,MAX(0,3239607.15-(IF(F64&lt;&gt;"",F64,IF($D$37&lt;&gt;"",$D$37,IF((IF(F63="",IF($D$35="",0,$D$35),F63))=0,0,F53/(IF(F63="",IF($D$35="",0,$D$35),F63)))))))*(IF(F63="",IF($D$35="",0,$D$35),F63))))</f>
        <v/>
      </c>
      <c r="N106" s="75" t="str">
        <f aca="false">IF(L106="","",L106+M106)</f>
        <v/>
      </c>
      <c r="O106" s="75" t="str">
        <f aca="false">IF(G53="","",IF(20&gt;IF(G56="",10,G56),"",G53*(1+IF(G54="",0,G54))^ROUNDDOWN((20-1)/IF(G55="",5,G55),0)))</f>
        <v/>
      </c>
      <c r="P106" s="75" t="str">
        <f aca="false">IF(O106="","",IF((IF(G63="",IF($D$35="",0,$D$35),G63))=0,0,MAX(0,3239607.15-(IF(G64&lt;&gt;"",G64,IF($D$37&lt;&gt;"",$D$37,IF((IF(G63="",IF($D$35="",0,$D$35),G63))=0,0,G53/(IF(G63="",IF($D$35="",0,$D$35),G63)))))))*(IF(G63="",IF($D$35="",0,$D$35),G63))))</f>
        <v/>
      </c>
      <c r="Q106" s="75" t="str">
        <f aca="false">IF(O106="","",O106+P106)</f>
        <v/>
      </c>
      <c r="R106" s="75" t="str">
        <f aca="false">IF(H53="","",IF(20&gt;IF(H56="",10,H56),"",H53*(1+IF(H54="",0,H54))^ROUNDDOWN((20-1)/IF(H55="",5,H55),0)))</f>
        <v/>
      </c>
      <c r="S106" s="75" t="str">
        <f aca="false">IF(R106="","",IF((IF(H63="",IF($D$35="",0,$D$35),H63))=0,0,MAX(0,3239607.15-(IF(H64&lt;&gt;"",H64,IF($D$37&lt;&gt;"",$D$37,IF((IF(H63="",IF($D$35="",0,$D$35),H63))=0,0,H53/(IF(H63="",IF($D$35="",0,$D$35),H63)))))))*(IF(H63="",IF($D$35="",0,$D$35),H63))))</f>
        <v/>
      </c>
      <c r="T106" s="75" t="str">
        <f aca="false">IF(R106="","",R106+S106)</f>
        <v/>
      </c>
    </row>
    <row r="107" customFormat="false" ht="15" hidden="false" customHeight="false" outlineLevel="0" collapsed="false">
      <c r="A107" s="77" t="s">
        <v>394</v>
      </c>
      <c r="C107" s="78" t="n">
        <f aca="false">IF(COUNT(C87:C106)=0,"",SUM(C87:C106))</f>
        <v>1588335</v>
      </c>
      <c r="D107" s="78" t="n">
        <f aca="false">IF(COUNT(D87:D106)=0,"",SUM(D87:D106))</f>
        <v>0</v>
      </c>
      <c r="E107" s="78" t="n">
        <f aca="false">IF(COUNT(E87:E106)=0,"",SUM(E87:E106))</f>
        <v>1588335</v>
      </c>
      <c r="F107" s="78" t="n">
        <f aca="false">IF(COUNT(F87:F106)=0,"",SUM(F87:F106))</f>
        <v>1410579.12192</v>
      </c>
      <c r="G107" s="78" t="n">
        <f aca="false">IF(COUNT(G87:G106)=0,"",SUM(G87:G106))</f>
        <v>0</v>
      </c>
      <c r="H107" s="78" t="n">
        <f aca="false">IF(COUNT(H87:H106)=0,"",SUM(H87:H106))</f>
        <v>1410579.12192</v>
      </c>
      <c r="I107" s="78" t="str">
        <f aca="false">IF(COUNT(I87:I106)=0,"",SUM(I87:I106))</f>
        <v/>
      </c>
      <c r="J107" s="78" t="str">
        <f aca="false">IF(COUNT(J87:J106)=0,"",SUM(J87:J106))</f>
        <v/>
      </c>
      <c r="K107" s="78" t="str">
        <f aca="false">IF(COUNT(K87:K106)=0,"",SUM(K87:K106))</f>
        <v/>
      </c>
      <c r="L107" s="78" t="str">
        <f aca="false">IF(COUNT(L87:L106)=0,"",SUM(L87:L106))</f>
        <v/>
      </c>
      <c r="M107" s="78" t="str">
        <f aca="false">IF(COUNT(M87:M106)=0,"",SUM(M87:M106))</f>
        <v/>
      </c>
      <c r="N107" s="78" t="str">
        <f aca="false">IF(COUNT(N87:N106)=0,"",SUM(N87:N106))</f>
        <v/>
      </c>
      <c r="O107" s="78" t="str">
        <f aca="false">IF(COUNT(O87:O106)=0,"",SUM(O87:O106))</f>
        <v/>
      </c>
      <c r="P107" s="78" t="str">
        <f aca="false">IF(COUNT(P87:P106)=0,"",SUM(P87:P106))</f>
        <v/>
      </c>
      <c r="Q107" s="78" t="str">
        <f aca="false">IF(COUNT(Q87:Q106)=0,"",SUM(Q87:Q106))</f>
        <v/>
      </c>
      <c r="R107" s="78" t="str">
        <f aca="false">IF(COUNT(R87:R106)=0,"",SUM(R87:R106))</f>
        <v/>
      </c>
      <c r="S107" s="78" t="str">
        <f aca="false">IF(COUNT(S87:S106)=0,"",SUM(S87:S106))</f>
        <v/>
      </c>
      <c r="T107" s="78" t="str">
        <f aca="false">IF(COUNT(T87:T106)=0,"",SUM(T87:T106))</f>
        <v/>
      </c>
    </row>
    <row r="108" customFormat="false" ht="15" hidden="false" customHeight="false" outlineLevel="0" collapsed="false">
      <c r="A108" s="69" t="s">
        <v>395</v>
      </c>
      <c r="B108" s="69"/>
      <c r="C108" s="69"/>
      <c r="D108" s="69"/>
      <c r="E108" s="69"/>
      <c r="F108" s="69"/>
      <c r="G108" s="69"/>
      <c r="H108" s="69"/>
      <c r="I108" s="69"/>
      <c r="J108" s="69"/>
      <c r="K108" s="69"/>
      <c r="L108" s="69"/>
      <c r="M108" s="69"/>
      <c r="N108" s="69"/>
      <c r="O108" s="69"/>
      <c r="P108" s="69"/>
      <c r="Q108" s="69"/>
      <c r="R108" s="69"/>
      <c r="S108" s="69"/>
      <c r="T108" s="69"/>
    </row>
  </sheetData>
  <mergeCells count="83">
    <mergeCell ref="A2:J2"/>
    <mergeCell ref="A3:J3"/>
    <mergeCell ref="A4:J4"/>
    <mergeCell ref="A5:J5"/>
    <mergeCell ref="A6:J6"/>
    <mergeCell ref="A7:J7"/>
    <mergeCell ref="A8:J8"/>
    <mergeCell ref="A10:C10"/>
    <mergeCell ref="D10:J10"/>
    <mergeCell ref="A11:C11"/>
    <mergeCell ref="D11:J11"/>
    <mergeCell ref="A12:C12"/>
    <mergeCell ref="D12:J12"/>
    <mergeCell ref="A13:C13"/>
    <mergeCell ref="D13:J13"/>
    <mergeCell ref="A14:C14"/>
    <mergeCell ref="D14:J14"/>
    <mergeCell ref="G17:J17"/>
    <mergeCell ref="G18:J18"/>
    <mergeCell ref="G19:J19"/>
    <mergeCell ref="G20:J20"/>
    <mergeCell ref="A21:D21"/>
    <mergeCell ref="A22:J22"/>
    <mergeCell ref="A25:C25"/>
    <mergeCell ref="A26:C26"/>
    <mergeCell ref="E26:J26"/>
    <mergeCell ref="A27:C27"/>
    <mergeCell ref="E27:J27"/>
    <mergeCell ref="A28:C28"/>
    <mergeCell ref="A29:C29"/>
    <mergeCell ref="A30:C30"/>
    <mergeCell ref="E30:J30"/>
    <mergeCell ref="A31:J31"/>
    <mergeCell ref="A32:J32"/>
    <mergeCell ref="A35:C35"/>
    <mergeCell ref="E35:J35"/>
    <mergeCell ref="A36:C36"/>
    <mergeCell ref="E36:J36"/>
    <mergeCell ref="A37:C37"/>
    <mergeCell ref="E37:J37"/>
    <mergeCell ref="A38:C38"/>
    <mergeCell ref="E38:J38"/>
    <mergeCell ref="A39:C39"/>
    <mergeCell ref="A40:C40"/>
    <mergeCell ref="A41:C41"/>
    <mergeCell ref="A42:C42"/>
    <mergeCell ref="A48:G48"/>
    <mergeCell ref="A51:C51"/>
    <mergeCell ref="A52:C52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2:C62"/>
    <mergeCell ref="A63:C63"/>
    <mergeCell ref="A64:C64"/>
    <mergeCell ref="A65:C65"/>
    <mergeCell ref="A66:C66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8:J78"/>
    <mergeCell ref="A80:J80"/>
    <mergeCell ref="A84:T84"/>
    <mergeCell ref="C85:E85"/>
    <mergeCell ref="F85:H85"/>
    <mergeCell ref="I85:K85"/>
    <mergeCell ref="L85:N85"/>
    <mergeCell ref="O85:Q85"/>
    <mergeCell ref="R85:T85"/>
    <mergeCell ref="A108:T108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T10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6"/>
    <col collapsed="false" customWidth="true" hidden="false" outlineLevel="0" max="2" min="2" style="0" width="22"/>
    <col collapsed="false" customWidth="true" hidden="false" outlineLevel="0" max="3" min="3" style="0" width="11"/>
    <col collapsed="false" customWidth="true" hidden="false" outlineLevel="0" max="4" min="4" style="0" width="14"/>
    <col collapsed="false" customWidth="true" hidden="false" outlineLevel="0" max="6" min="5" style="0" width="12"/>
    <col collapsed="false" customWidth="true" hidden="false" outlineLevel="0" max="7" min="7" style="0" width="14"/>
    <col collapsed="false" customWidth="true" hidden="false" outlineLevel="0" max="9" min="8" style="0" width="13"/>
    <col collapsed="false" customWidth="true" hidden="false" outlineLevel="0" max="10" min="10" style="0" width="26"/>
  </cols>
  <sheetData>
    <row r="1" customFormat="false" ht="16.15" hidden="false" customHeight="false" outlineLevel="0" collapsed="false">
      <c r="A1" s="3" t="s">
        <v>498</v>
      </c>
    </row>
    <row r="2" customFormat="false" ht="25.5" hidden="false" customHeight="true" outlineLevel="0" collapsed="false">
      <c r="A2" s="12" t="s">
        <v>251</v>
      </c>
      <c r="B2" s="12"/>
      <c r="C2" s="12"/>
      <c r="D2" s="12"/>
      <c r="E2" s="12"/>
      <c r="F2" s="12"/>
      <c r="G2" s="12"/>
      <c r="H2" s="12"/>
      <c r="I2" s="12"/>
      <c r="J2" s="12"/>
    </row>
    <row r="3" customFormat="false" ht="15" hidden="false" customHeight="true" outlineLevel="0" collapsed="false">
      <c r="A3" s="16" t="s">
        <v>499</v>
      </c>
      <c r="B3" s="16"/>
      <c r="C3" s="16"/>
      <c r="D3" s="16"/>
      <c r="E3" s="16"/>
      <c r="F3" s="16"/>
      <c r="G3" s="16"/>
      <c r="H3" s="16"/>
      <c r="I3" s="16"/>
      <c r="J3" s="16"/>
    </row>
    <row r="4" customFormat="false" ht="30" hidden="false" customHeight="true" outlineLevel="0" collapsed="false">
      <c r="A4" s="17" t="s">
        <v>35</v>
      </c>
      <c r="B4" s="17"/>
      <c r="C4" s="17"/>
      <c r="D4" s="17"/>
      <c r="E4" s="17"/>
      <c r="F4" s="17"/>
      <c r="G4" s="17"/>
      <c r="H4" s="17"/>
      <c r="I4" s="17"/>
      <c r="J4" s="17"/>
    </row>
    <row r="5" customFormat="false" ht="15" hidden="false" customHeight="true" outlineLevel="0" collapsed="false">
      <c r="A5" s="18" t="s">
        <v>17</v>
      </c>
      <c r="B5" s="18"/>
      <c r="C5" s="18"/>
      <c r="D5" s="18"/>
      <c r="E5" s="18"/>
      <c r="F5" s="18"/>
      <c r="G5" s="18"/>
      <c r="H5" s="18"/>
      <c r="I5" s="18"/>
      <c r="J5" s="18"/>
    </row>
    <row r="6" customFormat="false" ht="15" hidden="false" customHeight="true" outlineLevel="0" collapsed="false">
      <c r="A6" s="19" t="s">
        <v>36</v>
      </c>
      <c r="B6" s="19"/>
      <c r="C6" s="19"/>
      <c r="D6" s="19"/>
      <c r="E6" s="19"/>
      <c r="F6" s="19"/>
      <c r="G6" s="19"/>
      <c r="H6" s="19"/>
      <c r="I6" s="19"/>
      <c r="J6" s="19"/>
    </row>
    <row r="7" customFormat="false" ht="23.85" hidden="false" customHeight="true" outlineLevel="0" collapsed="false">
      <c r="A7" s="20" t="s">
        <v>500</v>
      </c>
      <c r="B7" s="20"/>
      <c r="C7" s="20"/>
      <c r="D7" s="20"/>
      <c r="E7" s="20"/>
      <c r="F7" s="20"/>
      <c r="G7" s="20"/>
      <c r="H7" s="20"/>
      <c r="I7" s="20"/>
      <c r="J7" s="20"/>
    </row>
    <row r="8" customFormat="false" ht="15" hidden="false" customHeight="true" outlineLevel="0" collapsed="false">
      <c r="A8" s="21" t="s">
        <v>254</v>
      </c>
      <c r="B8" s="21"/>
      <c r="C8" s="21"/>
      <c r="D8" s="21"/>
      <c r="E8" s="21"/>
      <c r="F8" s="21"/>
      <c r="G8" s="21"/>
      <c r="H8" s="21"/>
      <c r="I8" s="21"/>
      <c r="J8" s="21"/>
    </row>
    <row r="10" customFormat="false" ht="15" hidden="false" customHeight="true" outlineLevel="0" collapsed="false">
      <c r="A10" s="22" t="s">
        <v>255</v>
      </c>
      <c r="B10" s="22"/>
      <c r="C10" s="22"/>
      <c r="D10" s="23" t="s">
        <v>501</v>
      </c>
      <c r="E10" s="23"/>
      <c r="F10" s="23"/>
      <c r="G10" s="23"/>
      <c r="H10" s="23"/>
      <c r="I10" s="23"/>
      <c r="J10" s="23"/>
    </row>
    <row r="11" customFormat="false" ht="15" hidden="false" customHeight="true" outlineLevel="0" collapsed="false">
      <c r="A11" s="22" t="s">
        <v>257</v>
      </c>
      <c r="B11" s="22"/>
      <c r="C11" s="22"/>
      <c r="D11" s="23" t="s">
        <v>502</v>
      </c>
      <c r="E11" s="23"/>
      <c r="F11" s="23"/>
      <c r="G11" s="23"/>
      <c r="H11" s="23"/>
      <c r="I11" s="23"/>
      <c r="J11" s="23"/>
    </row>
    <row r="12" customFormat="false" ht="15" hidden="false" customHeight="true" outlineLevel="0" collapsed="false">
      <c r="A12" s="22" t="s">
        <v>259</v>
      </c>
      <c r="B12" s="22"/>
      <c r="C12" s="22"/>
      <c r="D12" s="86"/>
      <c r="E12" s="86"/>
      <c r="F12" s="86"/>
      <c r="G12" s="86"/>
      <c r="H12" s="86"/>
      <c r="I12" s="86"/>
      <c r="J12" s="86"/>
    </row>
    <row r="13" customFormat="false" ht="15" hidden="false" customHeight="true" outlineLevel="0" collapsed="false">
      <c r="A13" s="22" t="s">
        <v>261</v>
      </c>
      <c r="B13" s="22"/>
      <c r="C13" s="22"/>
      <c r="D13" s="24" t="n">
        <v>2964949.49</v>
      </c>
      <c r="E13" s="24"/>
      <c r="F13" s="24"/>
      <c r="G13" s="24"/>
      <c r="H13" s="24"/>
      <c r="I13" s="24"/>
      <c r="J13" s="24"/>
    </row>
    <row r="14" customFormat="false" ht="23.85" hidden="false" customHeight="true" outlineLevel="0" collapsed="false">
      <c r="A14" s="22" t="s">
        <v>262</v>
      </c>
      <c r="B14" s="22"/>
      <c r="C14" s="22"/>
      <c r="D14" s="22" t="s">
        <v>503</v>
      </c>
      <c r="E14" s="22"/>
      <c r="F14" s="22"/>
      <c r="G14" s="22"/>
      <c r="H14" s="22"/>
      <c r="I14" s="22"/>
      <c r="J14" s="22"/>
    </row>
    <row r="16" customFormat="false" ht="15" hidden="false" customHeight="false" outlineLevel="0" collapsed="false">
      <c r="A16" s="25" t="s">
        <v>264</v>
      </c>
    </row>
    <row r="17" customFormat="false" ht="22.35" hidden="false" customHeight="true" outlineLevel="0" collapsed="false">
      <c r="A17" s="26" t="s">
        <v>265</v>
      </c>
      <c r="B17" s="26" t="s">
        <v>266</v>
      </c>
      <c r="C17" s="26" t="s">
        <v>267</v>
      </c>
      <c r="D17" s="26" t="s">
        <v>268</v>
      </c>
      <c r="E17" s="26" t="s">
        <v>269</v>
      </c>
      <c r="F17" s="26" t="s">
        <v>270</v>
      </c>
      <c r="G17" s="26" t="s">
        <v>271</v>
      </c>
      <c r="H17" s="26"/>
      <c r="I17" s="26"/>
      <c r="J17" s="26"/>
    </row>
    <row r="18" customFormat="false" ht="23.85" hidden="false" customHeight="true" outlineLevel="0" collapsed="false">
      <c r="A18" s="27" t="s">
        <v>504</v>
      </c>
      <c r="B18" s="28" t="s">
        <v>404</v>
      </c>
      <c r="C18" s="28" t="s">
        <v>505</v>
      </c>
      <c r="D18" s="29" t="n">
        <v>13003.99</v>
      </c>
      <c r="E18" s="30" t="n">
        <f aca="false">IF(D18="","",D18*12)</f>
        <v>156047.88</v>
      </c>
      <c r="F18" s="31" t="n">
        <v>4.4</v>
      </c>
      <c r="G18" s="32" t="s">
        <v>506</v>
      </c>
      <c r="H18" s="32"/>
      <c r="I18" s="32"/>
      <c r="J18" s="32"/>
    </row>
    <row r="19" customFormat="false" ht="35.05" hidden="false" customHeight="true" outlineLevel="0" collapsed="false">
      <c r="A19" s="27" t="s">
        <v>507</v>
      </c>
      <c r="B19" s="28" t="s">
        <v>508</v>
      </c>
      <c r="C19" s="28" t="s">
        <v>444</v>
      </c>
      <c r="D19" s="33"/>
      <c r="E19" s="30" t="str">
        <f aca="false">IF(D19="","",D19*12)</f>
        <v/>
      </c>
      <c r="F19" s="31" t="n">
        <v>5.6</v>
      </c>
      <c r="G19" s="32" t="s">
        <v>509</v>
      </c>
      <c r="H19" s="32"/>
      <c r="I19" s="32"/>
      <c r="J19" s="32"/>
    </row>
    <row r="20" customFormat="false" ht="15" hidden="false" customHeight="false" outlineLevel="0" collapsed="false">
      <c r="A20" s="34" t="s">
        <v>284</v>
      </c>
      <c r="B20" s="34"/>
      <c r="C20" s="34"/>
      <c r="D20" s="34"/>
      <c r="E20" s="35" t="n">
        <f aca="false">IF(SUMPRODUCT(E18:E19,F18:F19)=0,"",SUMPRODUCT(E18:E19,F18:F19))</f>
        <v>686610.672</v>
      </c>
      <c r="F20" s="36"/>
      <c r="G20" s="36"/>
      <c r="H20" s="36"/>
      <c r="I20" s="36"/>
      <c r="J20" s="36"/>
    </row>
    <row r="21" customFormat="false" ht="15" hidden="false" customHeight="false" outlineLevel="0" collapsed="false">
      <c r="A21" s="37" t="s">
        <v>510</v>
      </c>
      <c r="B21" s="37"/>
      <c r="C21" s="37"/>
      <c r="D21" s="37"/>
      <c r="E21" s="37"/>
      <c r="F21" s="37"/>
      <c r="G21" s="37"/>
      <c r="H21" s="37"/>
      <c r="I21" s="37"/>
      <c r="J21" s="37"/>
    </row>
    <row r="23" customFormat="false" ht="15" hidden="false" customHeight="false" outlineLevel="0" collapsed="false">
      <c r="A23" s="25" t="s">
        <v>286</v>
      </c>
    </row>
    <row r="24" customFormat="false" ht="15" hidden="false" customHeight="true" outlineLevel="0" collapsed="false">
      <c r="A24" s="22" t="s">
        <v>287</v>
      </c>
      <c r="B24" s="22"/>
      <c r="C24" s="22"/>
      <c r="D24" s="35" t="n">
        <v>156047.88</v>
      </c>
      <c r="E24" s="36"/>
      <c r="F24" s="36"/>
      <c r="G24" s="36"/>
      <c r="H24" s="36"/>
      <c r="I24" s="36"/>
      <c r="J24" s="36"/>
    </row>
    <row r="25" customFormat="false" ht="15" hidden="false" customHeight="true" outlineLevel="0" collapsed="false">
      <c r="A25" s="22" t="s">
        <v>288</v>
      </c>
      <c r="B25" s="22"/>
      <c r="C25" s="22"/>
      <c r="D25" s="38" t="n">
        <v>0.0526308729798969</v>
      </c>
      <c r="E25" s="39" t="s">
        <v>289</v>
      </c>
      <c r="F25" s="39"/>
      <c r="G25" s="39"/>
      <c r="H25" s="39"/>
      <c r="I25" s="39"/>
      <c r="J25" s="39"/>
    </row>
    <row r="26" customFormat="false" ht="23.85" hidden="false" customHeight="true" outlineLevel="0" collapsed="false">
      <c r="A26" s="22" t="s">
        <v>511</v>
      </c>
      <c r="B26" s="22"/>
      <c r="C26" s="22"/>
      <c r="D26" s="35" t="n">
        <v>26626.42</v>
      </c>
      <c r="E26" s="39" t="s">
        <v>291</v>
      </c>
      <c r="F26" s="39"/>
      <c r="G26" s="39"/>
      <c r="H26" s="39"/>
      <c r="I26" s="39"/>
      <c r="J26" s="39"/>
    </row>
    <row r="27" customFormat="false" ht="15" hidden="false" customHeight="true" outlineLevel="0" collapsed="false">
      <c r="A27" s="22" t="s">
        <v>292</v>
      </c>
      <c r="B27" s="22"/>
      <c r="C27" s="22"/>
      <c r="D27" s="35" t="n">
        <v>0</v>
      </c>
      <c r="E27" s="36"/>
      <c r="F27" s="36"/>
      <c r="G27" s="36"/>
      <c r="H27" s="36"/>
      <c r="I27" s="36"/>
      <c r="J27" s="36"/>
    </row>
    <row r="28" customFormat="false" ht="15" hidden="false" customHeight="true" outlineLevel="0" collapsed="false">
      <c r="A28" s="22" t="s">
        <v>293</v>
      </c>
      <c r="B28" s="22"/>
      <c r="C28" s="22"/>
      <c r="D28" s="35" t="n">
        <v>182674.3</v>
      </c>
      <c r="E28" s="36"/>
      <c r="F28" s="36"/>
      <c r="G28" s="36"/>
      <c r="H28" s="36"/>
      <c r="I28" s="36"/>
      <c r="J28" s="36"/>
    </row>
    <row r="29" customFormat="false" ht="15" hidden="false" customHeight="true" outlineLevel="0" collapsed="false">
      <c r="A29" s="22" t="s">
        <v>294</v>
      </c>
      <c r="B29" s="22"/>
      <c r="C29" s="22"/>
      <c r="D29" s="38" t="n">
        <v>0.0616112687977022</v>
      </c>
      <c r="E29" s="39" t="s">
        <v>295</v>
      </c>
      <c r="F29" s="39"/>
      <c r="G29" s="39"/>
      <c r="H29" s="39"/>
      <c r="I29" s="39"/>
      <c r="J29" s="39"/>
    </row>
    <row r="30" customFormat="false" ht="27.75" hidden="false" customHeight="true" outlineLevel="0" collapsed="false">
      <c r="A30" s="40" t="s">
        <v>512</v>
      </c>
      <c r="B30" s="40"/>
      <c r="C30" s="40"/>
      <c r="D30" s="40"/>
      <c r="E30" s="40"/>
      <c r="F30" s="40"/>
      <c r="G30" s="40"/>
      <c r="H30" s="40"/>
      <c r="I30" s="40"/>
      <c r="J30" s="40"/>
    </row>
    <row r="31" customFormat="false" ht="15" hidden="false" customHeight="false" outlineLevel="0" collapsed="false">
      <c r="A31" s="41" t="s">
        <v>513</v>
      </c>
      <c r="B31" s="41"/>
      <c r="C31" s="41"/>
      <c r="D31" s="41"/>
      <c r="E31" s="41"/>
      <c r="F31" s="41"/>
      <c r="G31" s="41"/>
      <c r="H31" s="41"/>
      <c r="I31" s="41"/>
      <c r="J31" s="41"/>
    </row>
    <row r="33" customFormat="false" ht="15" hidden="false" customHeight="false" outlineLevel="0" collapsed="false">
      <c r="A33" s="25" t="s">
        <v>298</v>
      </c>
    </row>
    <row r="34" customFormat="false" ht="15" hidden="false" customHeight="true" outlineLevel="0" collapsed="false">
      <c r="A34" s="22" t="s">
        <v>299</v>
      </c>
      <c r="B34" s="22"/>
      <c r="C34" s="22"/>
      <c r="D34" s="42" t="n">
        <v>0</v>
      </c>
      <c r="E34" s="43" t="s">
        <v>300</v>
      </c>
      <c r="F34" s="43"/>
      <c r="G34" s="43"/>
      <c r="H34" s="43"/>
      <c r="I34" s="43"/>
      <c r="J34" s="43"/>
    </row>
    <row r="35" customFormat="false" ht="15" hidden="false" customHeight="true" outlineLevel="0" collapsed="false">
      <c r="A35" s="22" t="s">
        <v>301</v>
      </c>
      <c r="B35" s="22"/>
      <c r="C35" s="22"/>
      <c r="D35" s="34" t="s">
        <v>302</v>
      </c>
      <c r="E35" s="43" t="s">
        <v>303</v>
      </c>
      <c r="F35" s="43"/>
      <c r="G35" s="43"/>
      <c r="H35" s="43"/>
      <c r="I35" s="43"/>
      <c r="J35" s="43"/>
    </row>
    <row r="36" customFormat="false" ht="15" hidden="false" customHeight="true" outlineLevel="0" collapsed="false">
      <c r="A36" s="22" t="s">
        <v>304</v>
      </c>
      <c r="B36" s="22"/>
      <c r="C36" s="22"/>
      <c r="D36" s="44"/>
      <c r="E36" s="43" t="s">
        <v>305</v>
      </c>
      <c r="F36" s="43"/>
      <c r="G36" s="43"/>
      <c r="H36" s="43"/>
      <c r="I36" s="43"/>
      <c r="J36" s="43"/>
    </row>
    <row r="37" customFormat="false" ht="23.85" hidden="false" customHeight="true" outlineLevel="0" collapsed="false">
      <c r="A37" s="22" t="s">
        <v>306</v>
      </c>
      <c r="B37" s="22"/>
      <c r="C37" s="22"/>
      <c r="D37" s="45" t="str">
        <f aca="false">IF(OR($D$34="",E18=""),"",IF($D$34=0,"— (no % rent)",E18/$D$34))</f>
        <v>— (no % rent)</v>
      </c>
      <c r="E37" s="43" t="s">
        <v>307</v>
      </c>
      <c r="F37" s="43"/>
      <c r="G37" s="43"/>
      <c r="H37" s="43"/>
      <c r="I37" s="43"/>
      <c r="J37" s="43"/>
    </row>
    <row r="38" customFormat="false" ht="23.85" hidden="false" customHeight="true" outlineLevel="0" collapsed="false">
      <c r="A38" s="22" t="s">
        <v>308</v>
      </c>
      <c r="B38" s="22"/>
      <c r="C38" s="22"/>
      <c r="D38" s="45" t="str">
        <f aca="false">IF($D$34="","",IF($D$34=0,"— (no % rent)",IF($D$36&lt;&gt;"",$D$36,IF(E18="","",E18/$D$34))))</f>
        <v>— (no % rent)</v>
      </c>
      <c r="E38" s="36"/>
      <c r="F38" s="36"/>
      <c r="G38" s="36"/>
      <c r="H38" s="36"/>
      <c r="I38" s="36"/>
      <c r="J38" s="36"/>
    </row>
    <row r="39" customFormat="false" ht="15" hidden="false" customHeight="true" outlineLevel="0" collapsed="false">
      <c r="A39" s="22" t="s">
        <v>309</v>
      </c>
      <c r="B39" s="22"/>
      <c r="C39" s="22"/>
      <c r="D39" s="45" t="n">
        <f aca="false">IF(OR($D$34="",D13=""),"",IF($D$34=0,0,IF($D$38="","",MAX(0,D13-$D$38)*$D$34)))</f>
        <v>0</v>
      </c>
      <c r="E39" s="36"/>
      <c r="F39" s="36"/>
      <c r="G39" s="36"/>
      <c r="H39" s="36"/>
      <c r="I39" s="36"/>
      <c r="J39" s="36"/>
    </row>
    <row r="40" customFormat="false" ht="15" hidden="false" customHeight="true" outlineLevel="0" collapsed="false">
      <c r="A40" s="22" t="s">
        <v>310</v>
      </c>
      <c r="B40" s="22"/>
      <c r="C40" s="22"/>
      <c r="D40" s="45" t="n">
        <f aca="false">IF(OR(D39="",E18=""),"",E18+D39)</f>
        <v>156047.88</v>
      </c>
      <c r="E40" s="36"/>
      <c r="F40" s="36"/>
      <c r="G40" s="36"/>
      <c r="H40" s="36"/>
      <c r="I40" s="36"/>
      <c r="J40" s="36"/>
    </row>
    <row r="41" customFormat="false" ht="15" hidden="false" customHeight="true" outlineLevel="0" collapsed="false">
      <c r="A41" s="22" t="s">
        <v>311</v>
      </c>
      <c r="B41" s="22"/>
      <c r="C41" s="22"/>
      <c r="D41" s="46" t="n">
        <f aca="false">IF(OR(D40="",D13=""),"",D40/D13)</f>
        <v>0.0526308729798969</v>
      </c>
      <c r="E41" s="36"/>
      <c r="F41" s="36"/>
      <c r="G41" s="36"/>
      <c r="H41" s="36"/>
      <c r="I41" s="36"/>
      <c r="J41" s="36"/>
    </row>
    <row r="43" customFormat="false" ht="15" hidden="false" customHeight="false" outlineLevel="0" collapsed="false">
      <c r="A43" s="25" t="s">
        <v>312</v>
      </c>
    </row>
    <row r="44" customFormat="false" ht="22.35" hidden="false" customHeight="false" outlineLevel="0" collapsed="false">
      <c r="A44" s="26" t="s">
        <v>313</v>
      </c>
      <c r="B44" s="26" t="s">
        <v>314</v>
      </c>
      <c r="C44" s="26" t="s">
        <v>315</v>
      </c>
      <c r="D44" s="26" t="s">
        <v>316</v>
      </c>
      <c r="E44" s="26" t="s">
        <v>317</v>
      </c>
      <c r="F44" s="26" t="s">
        <v>318</v>
      </c>
      <c r="G44" s="26" t="s">
        <v>319</v>
      </c>
      <c r="H44" s="26" t="s">
        <v>269</v>
      </c>
      <c r="I44" s="26" t="s">
        <v>320</v>
      </c>
      <c r="J44" s="26" t="s">
        <v>321</v>
      </c>
    </row>
    <row r="45" customFormat="false" ht="32.8" hidden="false" customHeight="false" outlineLevel="0" collapsed="false">
      <c r="A45" s="47" t="s">
        <v>514</v>
      </c>
      <c r="B45" s="47" t="s">
        <v>515</v>
      </c>
      <c r="C45" s="47" t="s">
        <v>494</v>
      </c>
      <c r="D45" s="47" t="s">
        <v>516</v>
      </c>
      <c r="E45" s="48"/>
      <c r="F45" s="47" t="s">
        <v>517</v>
      </c>
      <c r="G45" s="47" t="s">
        <v>327</v>
      </c>
      <c r="H45" s="49" t="n">
        <v>205000</v>
      </c>
      <c r="I45" s="50" t="s">
        <v>328</v>
      </c>
      <c r="J45" s="47" t="s">
        <v>518</v>
      </c>
    </row>
    <row r="46" customFormat="false" ht="22.35" hidden="false" customHeight="false" outlineLevel="0" collapsed="false">
      <c r="A46" s="47" t="s">
        <v>519</v>
      </c>
      <c r="B46" s="47" t="s">
        <v>520</v>
      </c>
      <c r="C46" s="47" t="s">
        <v>521</v>
      </c>
      <c r="D46" s="47" t="s">
        <v>522</v>
      </c>
      <c r="E46" s="48"/>
      <c r="F46" s="47" t="s">
        <v>523</v>
      </c>
      <c r="G46" s="47" t="s">
        <v>327</v>
      </c>
      <c r="H46" s="49" t="n">
        <v>310000</v>
      </c>
      <c r="I46" s="47" t="s">
        <v>334</v>
      </c>
      <c r="J46" s="47" t="s">
        <v>524</v>
      </c>
    </row>
    <row r="47" customFormat="false" ht="22.35" hidden="false" customHeight="false" outlineLevel="0" collapsed="false">
      <c r="A47" s="47" t="s">
        <v>525</v>
      </c>
      <c r="B47" s="47" t="s">
        <v>526</v>
      </c>
      <c r="C47" s="47" t="s">
        <v>527</v>
      </c>
      <c r="D47" s="47" t="s">
        <v>489</v>
      </c>
      <c r="E47" s="48"/>
      <c r="F47" s="47" t="s">
        <v>528</v>
      </c>
      <c r="G47" s="47" t="s">
        <v>327</v>
      </c>
      <c r="H47" s="49" t="n">
        <v>200000</v>
      </c>
      <c r="I47" s="50" t="s">
        <v>328</v>
      </c>
      <c r="J47" s="47" t="s">
        <v>529</v>
      </c>
    </row>
    <row r="48" customFormat="false" ht="15" hidden="false" customHeight="false" outlineLevel="0" collapsed="false">
      <c r="A48" s="52" t="s">
        <v>344</v>
      </c>
      <c r="B48" s="52"/>
      <c r="C48" s="52"/>
      <c r="D48" s="52"/>
      <c r="E48" s="52"/>
      <c r="F48" s="52"/>
      <c r="G48" s="52"/>
      <c r="H48" s="53" t="n">
        <f aca="false">IF(COUNT(H45:H47)=0,"",AVERAGE(H45:H47))</f>
        <v>238333.333333333</v>
      </c>
      <c r="I48" s="52" t="str">
        <f aca="false">IF(COUNT(H45:H47)=0,"",TEXT(MIN(H45:H47),"$#,##0")&amp;" – "&amp;TEXT(MAX(H45:H47),"$#,##0"))</f>
        <v>$200,000 – $310,000</v>
      </c>
      <c r="J48" s="36"/>
    </row>
    <row r="50" customFormat="false" ht="15" hidden="false" customHeight="false" outlineLevel="0" collapsed="false">
      <c r="A50" s="25" t="s">
        <v>345</v>
      </c>
    </row>
    <row r="51" customFormat="false" ht="53.7" hidden="false" customHeight="true" outlineLevel="0" collapsed="false">
      <c r="A51" s="26" t="s">
        <v>346</v>
      </c>
      <c r="B51" s="26"/>
      <c r="C51" s="26"/>
      <c r="D51" s="26" t="s">
        <v>347</v>
      </c>
      <c r="E51" s="26" t="s">
        <v>348</v>
      </c>
      <c r="F51" s="26" t="s">
        <v>349</v>
      </c>
      <c r="G51" s="26" t="s">
        <v>350</v>
      </c>
      <c r="H51" s="54" t="s">
        <v>351</v>
      </c>
    </row>
    <row r="52" customFormat="false" ht="68.65" hidden="false" customHeight="true" outlineLevel="0" collapsed="false">
      <c r="A52" s="22" t="s">
        <v>352</v>
      </c>
      <c r="B52" s="22"/>
      <c r="C52" s="22"/>
      <c r="D52" s="55" t="s">
        <v>353</v>
      </c>
      <c r="E52" s="56"/>
      <c r="F52" s="56"/>
      <c r="G52" s="56"/>
      <c r="H52" s="56"/>
    </row>
    <row r="53" customFormat="false" ht="15" hidden="false" customHeight="true" outlineLevel="0" collapsed="false">
      <c r="A53" s="22" t="s">
        <v>354</v>
      </c>
      <c r="B53" s="22"/>
      <c r="C53" s="22"/>
      <c r="D53" s="57" t="n">
        <v>156048</v>
      </c>
      <c r="E53" s="57"/>
      <c r="F53" s="57"/>
      <c r="G53" s="57"/>
      <c r="H53" s="57"/>
    </row>
    <row r="54" customFormat="false" ht="15" hidden="false" customHeight="true" outlineLevel="0" collapsed="false">
      <c r="A54" s="22" t="s">
        <v>355</v>
      </c>
      <c r="B54" s="22"/>
      <c r="C54" s="22"/>
      <c r="D54" s="58" t="n">
        <v>0.02</v>
      </c>
      <c r="E54" s="58"/>
      <c r="F54" s="58"/>
      <c r="G54" s="58"/>
      <c r="H54" s="58"/>
    </row>
    <row r="55" customFormat="false" ht="15" hidden="false" customHeight="true" outlineLevel="0" collapsed="false">
      <c r="A55" s="22" t="s">
        <v>356</v>
      </c>
      <c r="B55" s="22"/>
      <c r="C55" s="22"/>
      <c r="D55" s="56" t="n">
        <v>5</v>
      </c>
      <c r="E55" s="56"/>
      <c r="F55" s="56"/>
      <c r="G55" s="56"/>
      <c r="H55" s="56"/>
    </row>
    <row r="56" customFormat="false" ht="15" hidden="false" customHeight="true" outlineLevel="0" collapsed="false">
      <c r="A56" s="22" t="s">
        <v>357</v>
      </c>
      <c r="B56" s="22"/>
      <c r="C56" s="22"/>
      <c r="D56" s="59" t="n">
        <v>20</v>
      </c>
      <c r="E56" s="59"/>
      <c r="F56" s="59"/>
      <c r="G56" s="59"/>
      <c r="H56" s="59"/>
    </row>
    <row r="57" customFormat="false" ht="15" hidden="false" customHeight="true" outlineLevel="0" collapsed="false">
      <c r="A57" s="22" t="s">
        <v>358</v>
      </c>
      <c r="B57" s="22"/>
      <c r="C57" s="22"/>
      <c r="D57" s="60" t="n">
        <f aca="false">IF(OR(D53="",E18=""),"",D53-E18)</f>
        <v>0.119999999995343</v>
      </c>
      <c r="E57" s="60" t="str">
        <f aca="false">IF(OR(E53="",E18=""),"",E53-E18)</f>
        <v/>
      </c>
      <c r="F57" s="60" t="str">
        <f aca="false">IF(OR(F53="",E18=""),"",F53-E18)</f>
        <v/>
      </c>
      <c r="G57" s="60" t="str">
        <f aca="false">IF(OR(G53="",E18=""),"",G53-E18)</f>
        <v/>
      </c>
      <c r="H57" s="60" t="str">
        <f aca="false">IF(OR(H53="",E18=""),"",H53-E18)</f>
        <v/>
      </c>
    </row>
    <row r="58" customFormat="false" ht="15" hidden="false" customHeight="true" outlineLevel="0" collapsed="false">
      <c r="A58" s="22" t="s">
        <v>359</v>
      </c>
      <c r="B58" s="22"/>
      <c r="C58" s="22"/>
      <c r="D58" s="61" t="n">
        <f aca="false">IF(OR(D53="",E18=""),"",(D53-E18)/E18)</f>
        <v>7.68994746967042E-007</v>
      </c>
      <c r="E58" s="61" t="str">
        <f aca="false">IF(OR(E53="",E18=""),"",(E53-E18)/E18)</f>
        <v/>
      </c>
      <c r="F58" s="61" t="str">
        <f aca="false">IF(OR(F53="",E18=""),"",(F53-E18)/E18)</f>
        <v/>
      </c>
      <c r="G58" s="61" t="str">
        <f aca="false">IF(OR(G53="",E18=""),"",(G53-E18)/E18)</f>
        <v/>
      </c>
      <c r="H58" s="61" t="str">
        <f aca="false">IF(OR(H53="",E18=""),"",(H53-E18)/E18)</f>
        <v/>
      </c>
    </row>
    <row r="59" customFormat="false" ht="15" hidden="false" customHeight="true" outlineLevel="0" collapsed="false">
      <c r="A59" s="22" t="s">
        <v>360</v>
      </c>
      <c r="B59" s="22"/>
      <c r="C59" s="22"/>
      <c r="D59" s="62" t="n">
        <f aca="false">IF(OR(D53="",D13=""),"",D53/D13)</f>
        <v>0.0526309134527617</v>
      </c>
      <c r="E59" s="62" t="str">
        <f aca="false">IF(OR(E53="",D13=""),"",E53/D13)</f>
        <v/>
      </c>
      <c r="F59" s="62" t="str">
        <f aca="false">IF(OR(F53="",D13=""),"",F53/D13)</f>
        <v/>
      </c>
      <c r="G59" s="62" t="str">
        <f aca="false">IF(OR(G53="",D13=""),"",G53/D13)</f>
        <v/>
      </c>
      <c r="H59" s="62" t="str">
        <f aca="false">IF(OR(H53="",D13=""),"",H53/D13)</f>
        <v/>
      </c>
    </row>
    <row r="60" customFormat="false" ht="15" hidden="false" customHeight="true" outlineLevel="0" collapsed="false">
      <c r="A60" s="22" t="s">
        <v>361</v>
      </c>
      <c r="B60" s="22"/>
      <c r="C60" s="22"/>
      <c r="D60" s="61" t="n">
        <f aca="false">IF(OR(D53="",H48=""),"",(D53-H48)/H48)</f>
        <v>-0.345253146853147</v>
      </c>
      <c r="E60" s="61" t="str">
        <f aca="false">IF(OR(E53="",H48=""),"",(E53-H48)/H48)</f>
        <v/>
      </c>
      <c r="F60" s="61" t="str">
        <f aca="false">IF(OR(F53="",H48=""),"",(F53-H48)/H48)</f>
        <v/>
      </c>
      <c r="G60" s="61" t="str">
        <f aca="false">IF(OR(G53="",H48=""),"",(G53-H48)/H48)</f>
        <v/>
      </c>
      <c r="H60" s="61" t="str">
        <f aca="false">IF(OR(H53="",H48=""),"",(H53-H48)/H48)</f>
        <v/>
      </c>
    </row>
    <row r="61" customFormat="false" ht="15" hidden="false" customHeight="true" outlineLevel="0" collapsed="false">
      <c r="A61" s="22" t="s">
        <v>362</v>
      </c>
      <c r="B61" s="22"/>
      <c r="C61" s="22"/>
      <c r="D61" s="63" t="n">
        <f aca="true">IF(D53="","",SUMPRODUCT(D53*(1+IF(D54="",0,D54))^ROUNDDOWN((ROW(INDIRECT("1:10"))-1)/IF(D55="",5,D55),0)))</f>
        <v>1576084.8</v>
      </c>
      <c r="E61" s="63" t="str">
        <f aca="true">IF(E53="","",SUMPRODUCT(E53*(1+IF(E54="",0,E54))^ROUNDDOWN((ROW(INDIRECT("1:10"))-1)/IF(E55="",5,E55),0)))</f>
        <v/>
      </c>
      <c r="F61" s="63" t="str">
        <f aca="true">IF(F53="","",SUMPRODUCT(F53*(1+IF(F54="",0,F54))^ROUNDDOWN((ROW(INDIRECT("1:10"))-1)/IF(F55="",5,F55),0)))</f>
        <v/>
      </c>
      <c r="G61" s="63" t="str">
        <f aca="true">IF(G53="","",SUMPRODUCT(G53*(1+IF(G54="",0,G54))^ROUNDDOWN((ROW(INDIRECT("1:10"))-1)/IF(G55="",5,G55),0)))</f>
        <v/>
      </c>
      <c r="H61" s="63" t="str">
        <f aca="true">IF(H53="","",SUMPRODUCT(H53*(1+IF(H54="",0,H54))^ROUNDDOWN((ROW(INDIRECT("1:10"))-1)/IF(H55="",5,H55),0)))</f>
        <v/>
      </c>
    </row>
    <row r="62" customFormat="false" ht="15" hidden="false" customHeight="true" outlineLevel="0" collapsed="false">
      <c r="A62" s="22" t="s">
        <v>363</v>
      </c>
      <c r="B62" s="22"/>
      <c r="C62" s="22"/>
      <c r="D62" s="60" t="n">
        <f aca="false">IF(OR(D61="",E20=""),"",D61-E20)</f>
        <v>889474.128</v>
      </c>
      <c r="E62" s="60" t="str">
        <f aca="false">IF(OR(E61="",E20=""),"",E61-E20)</f>
        <v/>
      </c>
      <c r="F62" s="60" t="str">
        <f aca="false">IF(OR(F61="",E20=""),"",F61-E20)</f>
        <v/>
      </c>
      <c r="G62" s="60" t="str">
        <f aca="false">IF(OR(G61="",E20=""),"",G61-E20)</f>
        <v/>
      </c>
      <c r="H62" s="60" t="str">
        <f aca="false">IF(OR(H61="",E20=""),"",H61-E20)</f>
        <v/>
      </c>
    </row>
    <row r="63" customFormat="false" ht="23.85" hidden="false" customHeight="true" outlineLevel="0" collapsed="false">
      <c r="A63" s="22" t="s">
        <v>364</v>
      </c>
      <c r="B63" s="22"/>
      <c r="C63" s="22"/>
      <c r="D63" s="58"/>
      <c r="E63" s="58"/>
      <c r="F63" s="58"/>
      <c r="G63" s="58"/>
      <c r="H63" s="58"/>
    </row>
    <row r="64" customFormat="false" ht="23.85" hidden="false" customHeight="true" outlineLevel="0" collapsed="false">
      <c r="A64" s="22" t="s">
        <v>365</v>
      </c>
      <c r="B64" s="22"/>
      <c r="C64" s="22"/>
      <c r="D64" s="57"/>
      <c r="E64" s="57"/>
      <c r="F64" s="57"/>
      <c r="G64" s="57"/>
      <c r="H64" s="57"/>
    </row>
    <row r="65" customFormat="false" ht="15" hidden="false" customHeight="true" outlineLevel="0" collapsed="false">
      <c r="A65" s="22" t="s">
        <v>366</v>
      </c>
      <c r="B65" s="22"/>
      <c r="C65" s="22"/>
      <c r="D65" s="63" t="str">
        <f aca="false">IF(OR(D53="",AND(D63="",$D$34="")),"",IF(IF(D63="",IF($D$34="",0,$D$34),D63)=0,"— (% rent removed)",IF(D64&lt;&gt;"",D64,IF($D$36&lt;&gt;"",$D$36,D53/IF(D63="",IF($D$34="",0,$D$34),D63)))))</f>
        <v>— (% rent removed)</v>
      </c>
      <c r="E65" s="63" t="str">
        <f aca="false">IF(OR(E53="",AND(E63="",$D$34="")),"",IF(IF(E63="",IF($D$34="",0,$D$34),E63)=0,"— (% rent removed)",IF(E64&lt;&gt;"",E64,IF($D$36&lt;&gt;"",$D$36,E53/IF(E63="",IF($D$34="",0,$D$34),E63)))))</f>
        <v/>
      </c>
      <c r="F65" s="63" t="str">
        <f aca="false">IF(OR(F53="",AND(F63="",$D$34="")),"",IF(IF(F63="",IF($D$34="",0,$D$34),F63)=0,"— (% rent removed)",IF(F64&lt;&gt;"",F64,IF($D$36&lt;&gt;"",$D$36,F53/IF(F63="",IF($D$34="",0,$D$34),F63)))))</f>
        <v/>
      </c>
      <c r="G65" s="63" t="str">
        <f aca="false">IF(OR(G53="",AND(G63="",$D$34="")),"",IF(IF(G63="",IF($D$34="",0,$D$34),G63)=0,"— (% rent removed)",IF(G64&lt;&gt;"",G64,IF($D$36&lt;&gt;"",$D$36,G53/IF(G63="",IF($D$34="",0,$D$34),G63)))))</f>
        <v/>
      </c>
      <c r="H65" s="63" t="str">
        <f aca="false">IF(OR(H53="",AND(H63="",$D$34="")),"",IF(IF(H63="",IF($D$34="",0,$D$34),H63)=0,"— (% rent removed)",IF(H64&lt;&gt;"",H64,IF($D$36&lt;&gt;"",$D$36,H53/IF(H63="",IF($D$34="",0,$D$34),H63)))))</f>
        <v/>
      </c>
    </row>
    <row r="66" customFormat="false" ht="15" hidden="false" customHeight="true" outlineLevel="0" collapsed="false">
      <c r="A66" s="22" t="s">
        <v>367</v>
      </c>
      <c r="B66" s="22"/>
      <c r="C66" s="22"/>
      <c r="D66" s="63" t="n">
        <f aca="false">IF(OR(D53="",AND(D63="",$D$34=""),D13=""),"",IF(IF(D63="",IF($D$34="",0,$D$34),D63)=0,0,MAX(0,D13-D65)*IF(D63="",IF($D$34="",0,$D$34),D63)))</f>
        <v>0</v>
      </c>
      <c r="E66" s="63" t="str">
        <f aca="false">IF(OR(E53="",AND(E63="",$D$34=""),D13=""),"",IF(IF(E63="",IF($D$34="",0,$D$34),E63)=0,0,MAX(0,D13-E65)*IF(E63="",IF($D$34="",0,$D$34),E63)))</f>
        <v/>
      </c>
      <c r="F66" s="63" t="str">
        <f aca="false">IF(OR(F53="",AND(F63="",$D$34=""),D13=""),"",IF(IF(F63="",IF($D$34="",0,$D$34),F63)=0,0,MAX(0,D13-F65)*IF(F63="",IF($D$34="",0,$D$34),F63)))</f>
        <v/>
      </c>
      <c r="G66" s="63" t="str">
        <f aca="false">IF(OR(G53="",AND(G63="",$D$34=""),D13=""),"",IF(IF(G63="",IF($D$34="",0,$D$34),G63)=0,0,MAX(0,D13-G65)*IF(G63="",IF($D$34="",0,$D$34),G63)))</f>
        <v/>
      </c>
      <c r="H66" s="63" t="str">
        <f aca="false">IF(OR(H53="",AND(H63="",$D$34=""),D13=""),"",IF(IF(H63="",IF($D$34="",0,$D$34),H63)=0,0,MAX(0,D13-H65)*IF(H63="",IF($D$34="",0,$D$34),H63)))</f>
        <v/>
      </c>
    </row>
    <row r="67" customFormat="false" ht="15" hidden="false" customHeight="true" outlineLevel="0" collapsed="false">
      <c r="A67" s="22" t="s">
        <v>368</v>
      </c>
      <c r="B67" s="22"/>
      <c r="C67" s="22"/>
      <c r="D67" s="63" t="n">
        <f aca="false">IF(OR(D53="",D66=""),"",D53+D66)</f>
        <v>156048</v>
      </c>
      <c r="E67" s="63" t="str">
        <f aca="false">IF(OR(E53="",E66=""),"",E53+E66)</f>
        <v/>
      </c>
      <c r="F67" s="63" t="str">
        <f aca="false">IF(OR(F53="",F66=""),"",F53+F66)</f>
        <v/>
      </c>
      <c r="G67" s="63" t="str">
        <f aca="false">IF(OR(G53="",G66=""),"",G53+G66)</f>
        <v/>
      </c>
      <c r="H67" s="63" t="str">
        <f aca="false">IF(OR(H53="",H66=""),"",H53+H66)</f>
        <v/>
      </c>
    </row>
    <row r="68" customFormat="false" ht="15" hidden="false" customHeight="true" outlineLevel="0" collapsed="false">
      <c r="A68" s="22" t="s">
        <v>369</v>
      </c>
      <c r="B68" s="22"/>
      <c r="C68" s="22"/>
      <c r="D68" s="62" t="n">
        <f aca="false">IF(OR(D67="",D13=""),"",D67/D13)</f>
        <v>0.0526309134527617</v>
      </c>
      <c r="E68" s="62" t="str">
        <f aca="false">IF(OR(E67="",D13=""),"",E67/D13)</f>
        <v/>
      </c>
      <c r="F68" s="62" t="str">
        <f aca="false">IF(OR(F67="",D13=""),"",F67/D13)</f>
        <v/>
      </c>
      <c r="G68" s="62" t="str">
        <f aca="false">IF(OR(G67="",D13=""),"",G67/D13)</f>
        <v/>
      </c>
      <c r="H68" s="62" t="str">
        <f aca="false">IF(OR(H67="",D13=""),"",H67/D13)</f>
        <v/>
      </c>
    </row>
    <row r="69" customFormat="false" ht="23.85" hidden="false" customHeight="true" outlineLevel="0" collapsed="false">
      <c r="A69" s="22" t="s">
        <v>370</v>
      </c>
      <c r="B69" s="22"/>
      <c r="C69" s="22"/>
      <c r="D69" s="64" t="n">
        <f aca="false">IF(D67="","",(897782.56-D67)/2964949.49)</f>
        <v>0.250167688354111</v>
      </c>
      <c r="E69" s="64" t="str">
        <f aca="false">IF(E67="","",(897782.56-E67)/2964949.49)</f>
        <v/>
      </c>
      <c r="F69" s="64" t="str">
        <f aca="false">IF(F67="","",(897782.56-F67)/2964949.49)</f>
        <v/>
      </c>
      <c r="G69" s="64" t="str">
        <f aca="false">IF(G67="","",(897782.56-G67)/2964949.49)</f>
        <v/>
      </c>
      <c r="H69" s="64" t="str">
        <f aca="false">IF(H67="","",(897782.56-H67)/2964949.49)</f>
        <v/>
      </c>
    </row>
    <row r="70" customFormat="false" ht="15" hidden="false" customHeight="true" outlineLevel="0" collapsed="false">
      <c r="A70" s="22" t="s">
        <v>371</v>
      </c>
      <c r="B70" s="22"/>
      <c r="C70" s="22"/>
      <c r="D70" s="63" t="n">
        <f aca="true">IF(OR(D53="",AND(D63="",$D$34=""),D13=""),"",IF(IF(D63="",IF($D$34="",0,$D$34),D63)=0,0,SUMPRODUCT(((D13*1.02^(ROW(INDIRECT("1:10"))-1))-(IF(D64&lt;&gt;"",D64,IF($D$36&lt;&gt;"",$D$36,(D53*(1+IF(D54="",0,D54))^ROUNDDOWN((ROW(INDIRECT("1:10"))-1)/IF(D55="",5,D55),0))/IF(D63="",IF($D$34="",0,$D$34),D63))))&gt;0)*((D13*1.02^(ROW(INDIRECT("1:10"))-1))-(IF(D64&lt;&gt;"",D64,IF($D$36&lt;&gt;"",$D$36,(D53*(1+IF(D54="",0,D54))^ROUNDDOWN((ROW(INDIRECT("1:10"))-1)/IF(D55="",5,D55),0))/IF(D63="",IF($D$34="",0,$D$34),D63))))))*IF(D63="",IF($D$34="",0,$D$34),D63)))</f>
        <v>0</v>
      </c>
      <c r="E70" s="63" t="str">
        <f aca="true">IF(OR(E53="",AND(E63="",$D$34=""),D13=""),"",IF(IF(E63="",IF($D$34="",0,$D$34),E63)=0,0,SUMPRODUCT(((D13*1.02^(ROW(INDIRECT("1:10"))-1))-(IF(E64&lt;&gt;"",E64,IF($D$36&lt;&gt;"",$D$36,(E53*(1+IF(E54="",0,E54))^ROUNDDOWN((ROW(INDIRECT("1:10"))-1)/IF(E55="",5,E55),0))/IF(E63="",IF($D$34="",0,$D$34),E63))))&gt;0)*((D13*1.02^(ROW(INDIRECT("1:10"))-1))-(IF(E64&lt;&gt;"",E64,IF($D$36&lt;&gt;"",$D$36,(E53*(1+IF(E54="",0,E54))^ROUNDDOWN((ROW(INDIRECT("1:10"))-1)/IF(E55="",5,E55),0))/IF(E63="",IF($D$34="",0,$D$34),E63))))))*IF(E63="",IF($D$34="",0,$D$34),E63)))</f>
        <v/>
      </c>
      <c r="F70" s="63" t="str">
        <f aca="true">IF(OR(F53="",AND(F63="",$D$34=""),D13=""),"",IF(IF(F63="",IF($D$34="",0,$D$34),F63)=0,0,SUMPRODUCT(((D13*1.02^(ROW(INDIRECT("1:10"))-1))-(IF(F64&lt;&gt;"",F64,IF($D$36&lt;&gt;"",$D$36,(F53*(1+IF(F54="",0,F54))^ROUNDDOWN((ROW(INDIRECT("1:10"))-1)/IF(F55="",5,F55),0))/IF(F63="",IF($D$34="",0,$D$34),F63))))&gt;0)*((D13*1.02^(ROW(INDIRECT("1:10"))-1))-(IF(F64&lt;&gt;"",F64,IF($D$36&lt;&gt;"",$D$36,(F53*(1+IF(F54="",0,F54))^ROUNDDOWN((ROW(INDIRECT("1:10"))-1)/IF(F55="",5,F55),0))/IF(F63="",IF($D$34="",0,$D$34),F63))))))*IF(F63="",IF($D$34="",0,$D$34),F63)))</f>
        <v/>
      </c>
      <c r="G70" s="63" t="str">
        <f aca="true">IF(OR(G53="",AND(G63="",$D$34=""),D13=""),"",IF(IF(G63="",IF($D$34="",0,$D$34),G63)=0,0,SUMPRODUCT(((D13*1.02^(ROW(INDIRECT("1:10"))-1))-(IF(G64&lt;&gt;"",G64,IF($D$36&lt;&gt;"",$D$36,(G53*(1+IF(G54="",0,G54))^ROUNDDOWN((ROW(INDIRECT("1:10"))-1)/IF(G55="",5,G55),0))/IF(G63="",IF($D$34="",0,$D$34),G63))))&gt;0)*((D13*1.02^(ROW(INDIRECT("1:10"))-1))-(IF(G64&lt;&gt;"",G64,IF($D$36&lt;&gt;"",$D$36,(G53*(1+IF(G54="",0,G54))^ROUNDDOWN((ROW(INDIRECT("1:10"))-1)/IF(G55="",5,G55),0))/IF(G63="",IF($D$34="",0,$D$34),G63))))))*IF(G63="",IF($D$34="",0,$D$34),G63)))</f>
        <v/>
      </c>
      <c r="H70" s="63" t="str">
        <f aca="true">IF(OR(H53="",AND(H63="",$D$34=""),D13=""),"",IF(IF(H63="",IF($D$34="",0,$D$34),H63)=0,0,SUMPRODUCT(((D13*1.02^(ROW(INDIRECT("1:10"))-1))-(IF(H64&lt;&gt;"",H64,IF($D$36&lt;&gt;"",$D$36,(H53*(1+IF(H54="",0,H54))^ROUNDDOWN((ROW(INDIRECT("1:10"))-1)/IF(H55="",5,H55),0))/IF(H63="",IF($D$34="",0,$D$34),H63))))&gt;0)*((D13*1.02^(ROW(INDIRECT("1:10"))-1))-(IF(H64&lt;&gt;"",H64,IF($D$36&lt;&gt;"",$D$36,(H53*(1+IF(H54="",0,H54))^ROUNDDOWN((ROW(INDIRECT("1:10"))-1)/IF(H55="",5,H55),0))/IF(H63="",IF($D$34="",0,$D$34),H63))))))*IF(H63="",IF($D$34="",0,$D$34),H63)))</f>
        <v/>
      </c>
    </row>
    <row r="71" customFormat="false" ht="15" hidden="false" customHeight="true" outlineLevel="0" collapsed="false">
      <c r="A71" s="22" t="s">
        <v>372</v>
      </c>
      <c r="B71" s="22"/>
      <c r="C71" s="22"/>
      <c r="D71" s="63" t="n">
        <f aca="false">IF(OR(D61="",D70=""),"",D61+D70)</f>
        <v>1576084.8</v>
      </c>
      <c r="E71" s="63" t="str">
        <f aca="false">IF(OR(E61="",E70=""),"",E61+E70)</f>
        <v/>
      </c>
      <c r="F71" s="63" t="str">
        <f aca="false">IF(OR(F61="",F70=""),"",F61+F70)</f>
        <v/>
      </c>
      <c r="G71" s="63" t="str">
        <f aca="false">IF(OR(G61="",G70=""),"",G61+G70)</f>
        <v/>
      </c>
      <c r="H71" s="63" t="str">
        <f aca="false">IF(OR(H61="",H70=""),"",H61+H70)</f>
        <v/>
      </c>
    </row>
    <row r="72" customFormat="false" ht="23.85" hidden="false" customHeight="true" outlineLevel="0" collapsed="false">
      <c r="A72" s="22" t="s">
        <v>373</v>
      </c>
      <c r="B72" s="22"/>
      <c r="C72" s="22"/>
      <c r="D72" s="65" t="n">
        <f aca="true">IF(D53="","",SUMPRODUCT(D53*(1+IF(D54="",0,D54))^ROUNDDOWN((ROW(INDIRECT("1:"&amp;IF(D56="",10,D56)))-1)/IF(D55="",5,D55),0))+IF(OR(D13="",IF(D63="",IF($D$34="",0,$D$34),D63)=0),0,SUMPRODUCT(((D13*1.02^(ROW(INDIRECT("1:"&amp;IF(D56="",10,D56)))-1))-(IF(D64&lt;&gt;"",D64,IF($D$36&lt;&gt;"",$D$36,(D53*(1+IF(D54="",0,D54))^ROUNDDOWN((ROW(INDIRECT("1:"&amp;IF(D56="",10,D56)))-1)/IF(D55="",5,D55),0))/IF(D63="",IF($D$34="",0,$D$34),D63))))&gt;0)*((D13*1.02^(ROW(INDIRECT("1:"&amp;IF(D56="",10,D56)))-1))-(IF(D64&lt;&gt;"",D64,IF($D$36&lt;&gt;"",$D$36,(D53*(1+IF(D54="",0,D54))^ROUNDDOWN((ROW(INDIRECT("1:"&amp;IF(D56="",10,D56)))-1)/IF(D55="",5,D55),0))/IF(D63="",IF($D$34="",0,$D$34),D63))))))*IF(D63="",IF($D$34="",0,$D$34),D63)))</f>
        <v>3215843.42592</v>
      </c>
      <c r="E72" s="65" t="str">
        <f aca="true">IF(E53="","",SUMPRODUCT(E53*(1+IF(E54="",0,E54))^ROUNDDOWN((ROW(INDIRECT("1:"&amp;IF(E56="",10,E56)))-1)/IF(E55="",5,E55),0))+IF(OR(D13="",IF(E63="",IF($D$34="",0,$D$34),E63)=0),0,SUMPRODUCT(((D13*1.02^(ROW(INDIRECT("1:"&amp;IF(E56="",10,E56)))-1))-(IF(E64&lt;&gt;"",E64,IF($D$36&lt;&gt;"",$D$36,(E53*(1+IF(E54="",0,E54))^ROUNDDOWN((ROW(INDIRECT("1:"&amp;IF(E56="",10,E56)))-1)/IF(E55="",5,E55),0))/IF(E63="",IF($D$34="",0,$D$34),E63))))&gt;0)*((D13*1.02^(ROW(INDIRECT("1:"&amp;IF(E56="",10,E56)))-1))-(IF(E64&lt;&gt;"",E64,IF($D$36&lt;&gt;"",$D$36,(E53*(1+IF(E54="",0,E54))^ROUNDDOWN((ROW(INDIRECT("1:"&amp;IF(E56="",10,E56)))-1)/IF(E55="",5,E55),0))/IF(E63="",IF($D$34="",0,$D$34),E63))))))*IF(E63="",IF($D$34="",0,$D$34),E63)))</f>
        <v/>
      </c>
      <c r="F72" s="65" t="str">
        <f aca="true">IF(F53="","",SUMPRODUCT(F53*(1+IF(F54="",0,F54))^ROUNDDOWN((ROW(INDIRECT("1:"&amp;IF(F56="",10,F56)))-1)/IF(F55="",5,F55),0))+IF(OR(D13="",IF(F63="",IF($D$34="",0,$D$34),F63)=0),0,SUMPRODUCT(((D13*1.02^(ROW(INDIRECT("1:"&amp;IF(F56="",10,F56)))-1))-(IF(F64&lt;&gt;"",F64,IF($D$36&lt;&gt;"",$D$36,(F53*(1+IF(F54="",0,F54))^ROUNDDOWN((ROW(INDIRECT("1:"&amp;IF(F56="",10,F56)))-1)/IF(F55="",5,F55),0))/IF(F63="",IF($D$34="",0,$D$34),F63))))&gt;0)*((D13*1.02^(ROW(INDIRECT("1:"&amp;IF(F56="",10,F56)))-1))-(IF(F64&lt;&gt;"",F64,IF($D$36&lt;&gt;"",$D$36,(F53*(1+IF(F54="",0,F54))^ROUNDDOWN((ROW(INDIRECT("1:"&amp;IF(F56="",10,F56)))-1)/IF(F55="",5,F55),0))/IF(F63="",IF($D$34="",0,$D$34),F63))))))*IF(F63="",IF($D$34="",0,$D$34),F63)))</f>
        <v/>
      </c>
      <c r="G72" s="65" t="str">
        <f aca="true">IF(G53="","",SUMPRODUCT(G53*(1+IF(G54="",0,G54))^ROUNDDOWN((ROW(INDIRECT("1:"&amp;IF(G56="",10,G56)))-1)/IF(G55="",5,G55),0))+IF(OR(D13="",IF(G63="",IF($D$34="",0,$D$34),G63)=0),0,SUMPRODUCT(((D13*1.02^(ROW(INDIRECT("1:"&amp;IF(G56="",10,G56)))-1))-(IF(G64&lt;&gt;"",G64,IF($D$36&lt;&gt;"",$D$36,(G53*(1+IF(G54="",0,G54))^ROUNDDOWN((ROW(INDIRECT("1:"&amp;IF(G56="",10,G56)))-1)/IF(G55="",5,G55),0))/IF(G63="",IF($D$34="",0,$D$34),G63))))&gt;0)*((D13*1.02^(ROW(INDIRECT("1:"&amp;IF(G56="",10,G56)))-1))-(IF(G64&lt;&gt;"",G64,IF($D$36&lt;&gt;"",$D$36,(G53*(1+IF(G54="",0,G54))^ROUNDDOWN((ROW(INDIRECT("1:"&amp;IF(G56="",10,G56)))-1)/IF(G55="",5,G55),0))/IF(G63="",IF($D$34="",0,$D$34),G63))))))*IF(G63="",IF($D$34="",0,$D$34),G63)))</f>
        <v/>
      </c>
      <c r="H72" s="65" t="str">
        <f aca="true">IF(H53="","",SUMPRODUCT(H53*(1+IF(H54="",0,H54))^ROUNDDOWN((ROW(INDIRECT("1:"&amp;IF(H56="",10,H56)))-1)/IF(H55="",5,H55),0))+IF(OR(D13="",IF(H63="",IF($D$34="",0,$D$34),H63)=0),0,SUMPRODUCT(((D13*1.02^(ROW(INDIRECT("1:"&amp;IF(H56="",10,H56)))-1))-(IF(H64&lt;&gt;"",H64,IF($D$36&lt;&gt;"",$D$36,(H53*(1+IF(H54="",0,H54))^ROUNDDOWN((ROW(INDIRECT("1:"&amp;IF(H56="",10,H56)))-1)/IF(H55="",5,H55),0))/IF(H63="",IF($D$34="",0,$D$34),H63))))&gt;0)*((D13*1.02^(ROW(INDIRECT("1:"&amp;IF(H56="",10,H56)))-1))-(IF(H64&lt;&gt;"",H64,IF($D$36&lt;&gt;"",$D$36,(H53*(1+IF(H54="",0,H54))^ROUNDDOWN((ROW(INDIRECT("1:"&amp;IF(H56="",10,H56)))-1)/IF(H55="",5,H55),0))/IF(H63="",IF($D$34="",0,$D$34),H63))))))*IF(H63="",IF($D$34="",0,$D$34),H63)))</f>
        <v/>
      </c>
    </row>
    <row r="73" customFormat="false" ht="15" hidden="false" customHeight="true" outlineLevel="0" collapsed="false">
      <c r="A73" s="22" t="s">
        <v>374</v>
      </c>
      <c r="B73" s="22"/>
      <c r="C73" s="22"/>
      <c r="D73" s="62" t="n">
        <f aca="false">IF(D53="","",IF(D54="",0,(1+D54)^(5/IF(D55="",5,D55))-1))</f>
        <v>0.02</v>
      </c>
      <c r="E73" s="62" t="str">
        <f aca="false">IF(E53="","",IF(E54="",0,(1+E54)^(5/IF(E55="",5,E55))-1))</f>
        <v/>
      </c>
      <c r="F73" s="62" t="str">
        <f aca="false">IF(F53="","",IF(F54="",0,(1+F54)^(5/IF(F55="",5,F55))-1))</f>
        <v/>
      </c>
      <c r="G73" s="62" t="str">
        <f aca="false">IF(G53="","",IF(G54="",0,(1+G54)^(5/IF(G55="",5,G55))-1))</f>
        <v/>
      </c>
      <c r="H73" s="62" t="str">
        <f aca="false">IF(H53="","",IF(H54="",0,(1+H54)^(5/IF(H55="",5,H55))-1))</f>
        <v/>
      </c>
    </row>
    <row r="74" customFormat="false" ht="43.25" hidden="false" customHeight="true" outlineLevel="0" collapsed="false">
      <c r="A74" s="22" t="s">
        <v>375</v>
      </c>
      <c r="B74" s="22"/>
      <c r="C74" s="22"/>
      <c r="D74" s="66" t="str">
        <f aca="false">IF(D73="","",IF(D73&lt;=0,"REDUCTION / FLAT — ladder steps 1-2 (best)",IF(D73&lt;=0.08,"OK — within 8%/5-yr in-house authority (ladder step 3)","ABOVE 8%/5-yr — CEO SIGN-OFF REQUIRED (Rob 8/5/26)")))</f>
        <v>OK — within 8%/5-yr in-house authority (ladder step 3)</v>
      </c>
      <c r="E74" s="66" t="str">
        <f aca="false">IF(E73="","",IF(E73&lt;=0,"REDUCTION / FLAT — ladder steps 1-2 (best)",IF(E73&lt;=0.08,"OK — within 8%/5-yr in-house authority (ladder step 3)","ABOVE 8%/5-yr — CEO SIGN-OFF REQUIRED (Rob 8/5/26)")))</f>
        <v/>
      </c>
      <c r="F74" s="66" t="str">
        <f aca="false">IF(F73="","",IF(F73&lt;=0,"REDUCTION / FLAT — ladder steps 1-2 (best)",IF(F73&lt;=0.08,"OK — within 8%/5-yr in-house authority (ladder step 3)","ABOVE 8%/5-yr — CEO SIGN-OFF REQUIRED (Rob 8/5/26)")))</f>
        <v/>
      </c>
      <c r="G74" s="66" t="str">
        <f aca="false">IF(G73="","",IF(G73&lt;=0,"REDUCTION / FLAT — ladder steps 1-2 (best)",IF(G73&lt;=0.08,"OK — within 8%/5-yr in-house authority (ladder step 3)","ABOVE 8%/5-yr — CEO SIGN-OFF REQUIRED (Rob 8/5/26)")))</f>
        <v/>
      </c>
      <c r="H74" s="66" t="str">
        <f aca="false">IF(H73="","",IF(H73&lt;=0,"REDUCTION / FLAT — ladder steps 1-2 (best)",IF(H73&lt;=0.08,"OK — within 8%/5-yr in-house authority (ladder step 3)","ABOVE 8%/5-yr — CEO SIGN-OFF REQUIRED (Rob 8/5/26)")))</f>
        <v/>
      </c>
    </row>
    <row r="75" customFormat="false" ht="23.85" hidden="false" customHeight="true" outlineLevel="0" collapsed="false">
      <c r="A75" s="22" t="s">
        <v>376</v>
      </c>
      <c r="B75" s="22"/>
      <c r="C75" s="22"/>
      <c r="D75" s="62" t="n">
        <f aca="false">IF(OR(D53="",D13=""),"",((D53*(1+IF(D54="",0,D54))^ROUNDDOWN(9/IF(D55="",5,D55),0))+IF(IF(D63="",IF($D$34="",0,$D$34),D63)=0,0,MAX(0,D13*1.02^9-IF(D64&lt;&gt;"",D64,IF($D$36&lt;&gt;"",$D$36,(D53*(1+IF(D54="",0,D54))^ROUNDDOWN(9/IF(D55="",5,D55),0))/IF(D63="",IF($D$34="",0,$D$34),D63))))*IF(D63="",IF($D$34="",0,$D$34),D63)))/(D13*1.02^9))</f>
        <v>0.0449199778588722</v>
      </c>
      <c r="E75" s="62" t="str">
        <f aca="false">IF(OR(E53="",D13=""),"",((E53*(1+IF(E54="",0,E54))^ROUNDDOWN(9/IF(E55="",5,E55),0))+IF(IF(E63="",IF($D$34="",0,$D$34),E63)=0,0,MAX(0,D13*1.02^9-IF(E64&lt;&gt;"",E64,IF($D$36&lt;&gt;"",$D$36,(E53*(1+IF(E54="",0,E54))^ROUNDDOWN(9/IF(E55="",5,E55),0))/IF(E63="",IF($D$34="",0,$D$34),E63))))*IF(E63="",IF($D$34="",0,$D$34),E63)))/(D13*1.02^9))</f>
        <v/>
      </c>
      <c r="F75" s="62" t="str">
        <f aca="false">IF(OR(F53="",D13=""),"",((F53*(1+IF(F54="",0,F54))^ROUNDDOWN(9/IF(F55="",5,F55),0))+IF(IF(F63="",IF($D$34="",0,$D$34),F63)=0,0,MAX(0,D13*1.02^9-IF(F64&lt;&gt;"",F64,IF($D$36&lt;&gt;"",$D$36,(F53*(1+IF(F54="",0,F54))^ROUNDDOWN(9/IF(F55="",5,F55),0))/IF(F63="",IF($D$34="",0,$D$34),F63))))*IF(F63="",IF($D$34="",0,$D$34),F63)))/(D13*1.02^9))</f>
        <v/>
      </c>
      <c r="G75" s="62" t="str">
        <f aca="false">IF(OR(G53="",D13=""),"",((G53*(1+IF(G54="",0,G54))^ROUNDDOWN(9/IF(G55="",5,G55),0))+IF(IF(G63="",IF($D$34="",0,$D$34),G63)=0,0,MAX(0,D13*1.02^9-IF(G64&lt;&gt;"",G64,IF($D$36&lt;&gt;"",$D$36,(G53*(1+IF(G54="",0,G54))^ROUNDDOWN(9/IF(G55="",5,G55),0))/IF(G63="",IF($D$34="",0,$D$34),G63))))*IF(G63="",IF($D$34="",0,$D$34),G63)))/(D13*1.02^9))</f>
        <v/>
      </c>
      <c r="H75" s="62" t="str">
        <f aca="false">IF(OR(H53="",D13=""),"",((H53*(1+IF(H54="",0,H54))^ROUNDDOWN(9/IF(H55="",5,H55),0))+IF(IF(H63="",IF($D$34="",0,$D$34),H63)=0,0,MAX(0,D13*1.02^9-IF(H64&lt;&gt;"",H64,IF($D$36&lt;&gt;"",$D$36,(H53*(1+IF(H54="",0,H54))^ROUNDDOWN(9/IF(H55="",5,H55),0))/IF(H63="",IF($D$34="",0,$D$34),H63))))*IF(H63="",IF($D$34="",0,$D$34),H63)))/(D13*1.02^9))</f>
        <v/>
      </c>
    </row>
    <row r="76" customFormat="false" ht="23.85" hidden="false" customHeight="true" outlineLevel="0" collapsed="false">
      <c r="A76" s="22" t="s">
        <v>377</v>
      </c>
      <c r="B76" s="22"/>
      <c r="C76" s="22"/>
      <c r="D76" s="66" t="str">
        <f aca="false">IF(OR(D75="",D68=""),"",IF(MAX(D68,D75)&gt;=0.08,"HARD STOP — occupancy at/above 8% of sales: STOP, CEO sign-off before responding",IF(MAX(D68,D75)&gt;0.07,"Above Kim 7% alert — approaching 8% hard stop","OK — under 7% alert")))</f>
        <v>OK — under 7% alert</v>
      </c>
      <c r="E76" s="66" t="str">
        <f aca="false">IF(OR(E75="",E68=""),"",IF(MAX(E68,E75)&gt;=0.08,"HARD STOP — occupancy at/above 8% of sales: STOP, CEO sign-off before responding",IF(MAX(E68,E75)&gt;0.07,"Above Kim 7% alert — approaching 8% hard stop","OK — under 7% alert")))</f>
        <v/>
      </c>
      <c r="F76" s="66" t="str">
        <f aca="false">IF(OR(F75="",F68=""),"",IF(MAX(F68,F75)&gt;=0.08,"HARD STOP — occupancy at/above 8% of sales: STOP, CEO sign-off before responding",IF(MAX(F68,F75)&gt;0.07,"Above Kim 7% alert — approaching 8% hard stop","OK — under 7% alert")))</f>
        <v/>
      </c>
      <c r="G76" s="66" t="str">
        <f aca="false">IF(OR(G75="",G68=""),"",IF(MAX(G68,G75)&gt;=0.08,"HARD STOP — occupancy at/above 8% of sales: STOP, CEO sign-off before responding",IF(MAX(G68,G75)&gt;0.07,"Above Kim 7% alert — approaching 8% hard stop","OK — under 7% alert")))</f>
        <v/>
      </c>
      <c r="H76" s="66" t="str">
        <f aca="false">IF(OR(H75="",H68=""),"",IF(MAX(H68,H75)&gt;=0.08,"HARD STOP — occupancy at/above 8% of sales: STOP, CEO sign-off before responding",IF(MAX(H68,H75)&gt;0.07,"Above Kim 7% alert — approaching 8% hard stop","OK — under 7% alert")))</f>
        <v/>
      </c>
    </row>
    <row r="78" customFormat="false" ht="22.35" hidden="false" customHeight="true" outlineLevel="0" collapsed="false">
      <c r="A78" s="68" t="s">
        <v>379</v>
      </c>
      <c r="B78" s="68"/>
      <c r="C78" s="68"/>
      <c r="D78" s="68"/>
      <c r="E78" s="68"/>
      <c r="F78" s="68"/>
      <c r="G78" s="68"/>
      <c r="H78" s="68"/>
      <c r="I78" s="68"/>
      <c r="J78" s="68"/>
    </row>
    <row r="80" customFormat="false" ht="15" hidden="false" customHeight="false" outlineLevel="0" collapsed="false">
      <c r="A80" s="69" t="s">
        <v>380</v>
      </c>
      <c r="B80" s="69"/>
      <c r="C80" s="69"/>
      <c r="D80" s="69"/>
      <c r="E80" s="69"/>
      <c r="F80" s="69"/>
      <c r="G80" s="69"/>
      <c r="H80" s="69"/>
      <c r="I80" s="69"/>
      <c r="J80" s="69"/>
    </row>
    <row r="83" customFormat="false" ht="15" hidden="false" customHeight="false" outlineLevel="0" collapsed="false">
      <c r="A83" s="25" t="s">
        <v>381</v>
      </c>
    </row>
    <row r="84" customFormat="false" ht="15" hidden="false" customHeight="false" outlineLevel="0" collapsed="false">
      <c r="A84" s="69" t="s">
        <v>382</v>
      </c>
      <c r="B84" s="69"/>
      <c r="C84" s="69"/>
      <c r="D84" s="69"/>
      <c r="E84" s="69"/>
      <c r="F84" s="69"/>
      <c r="G84" s="69"/>
      <c r="H84" s="69"/>
      <c r="I84" s="69"/>
      <c r="J84" s="69"/>
      <c r="K84" s="69"/>
      <c r="L84" s="69"/>
      <c r="M84" s="69"/>
      <c r="N84" s="69"/>
      <c r="O84" s="69"/>
      <c r="P84" s="69"/>
      <c r="Q84" s="69"/>
      <c r="R84" s="69"/>
      <c r="S84" s="69"/>
      <c r="T84" s="69"/>
    </row>
    <row r="85" customFormat="false" ht="15" hidden="false" customHeight="true" outlineLevel="0" collapsed="false">
      <c r="A85" s="70" t="s">
        <v>383</v>
      </c>
      <c r="B85" s="70" t="s">
        <v>384</v>
      </c>
      <c r="C85" s="71" t="s">
        <v>385</v>
      </c>
      <c r="D85" s="71"/>
      <c r="E85" s="71"/>
      <c r="F85" s="71" t="s">
        <v>386</v>
      </c>
      <c r="G85" s="71"/>
      <c r="H85" s="71"/>
      <c r="I85" s="71" t="s">
        <v>387</v>
      </c>
      <c r="J85" s="71"/>
      <c r="K85" s="71"/>
      <c r="L85" s="71" t="s">
        <v>388</v>
      </c>
      <c r="M85" s="71"/>
      <c r="N85" s="71"/>
      <c r="O85" s="71" t="s">
        <v>389</v>
      </c>
      <c r="P85" s="71"/>
      <c r="Q85" s="71"/>
      <c r="R85" s="72" t="s">
        <v>390</v>
      </c>
      <c r="S85" s="72"/>
      <c r="T85" s="72"/>
    </row>
    <row r="86" customFormat="false" ht="15" hidden="false" customHeight="false" outlineLevel="0" collapsed="false">
      <c r="A86" s="73"/>
      <c r="B86" s="73"/>
      <c r="C86" s="73" t="s">
        <v>391</v>
      </c>
      <c r="D86" s="73" t="s">
        <v>392</v>
      </c>
      <c r="E86" s="73" t="s">
        <v>393</v>
      </c>
      <c r="F86" s="73" t="s">
        <v>391</v>
      </c>
      <c r="G86" s="73" t="s">
        <v>392</v>
      </c>
      <c r="H86" s="73" t="s">
        <v>393</v>
      </c>
      <c r="I86" s="73" t="s">
        <v>391</v>
      </c>
      <c r="J86" s="73" t="s">
        <v>392</v>
      </c>
      <c r="K86" s="73" t="s">
        <v>393</v>
      </c>
      <c r="L86" s="73" t="s">
        <v>391</v>
      </c>
      <c r="M86" s="73" t="s">
        <v>392</v>
      </c>
      <c r="N86" s="73" t="s">
        <v>393</v>
      </c>
      <c r="O86" s="73" t="s">
        <v>391</v>
      </c>
      <c r="P86" s="73" t="s">
        <v>392</v>
      </c>
      <c r="Q86" s="73" t="s">
        <v>393</v>
      </c>
      <c r="R86" s="73" t="s">
        <v>391</v>
      </c>
      <c r="S86" s="73" t="s">
        <v>392</v>
      </c>
      <c r="T86" s="73" t="s">
        <v>393</v>
      </c>
    </row>
    <row r="87" customFormat="false" ht="15" hidden="false" customHeight="false" outlineLevel="0" collapsed="false">
      <c r="A87" s="74" t="n">
        <v>1</v>
      </c>
      <c r="B87" s="75" t="n">
        <v>2964949</v>
      </c>
      <c r="C87" s="76" t="n">
        <v>156048</v>
      </c>
      <c r="D87" s="76" t="n">
        <v>0</v>
      </c>
      <c r="E87" s="76" t="n">
        <v>156048</v>
      </c>
      <c r="F87" s="75" t="n">
        <f aca="false">IF(D53="","",IF(1&gt;IF(D56="",10,D56),"",D53*(1+IF(D54="",0,D54))^ROUNDDOWN((1-1)/IF(D55="",5,D55),0)))</f>
        <v>156048</v>
      </c>
      <c r="G87" s="75" t="n">
        <f aca="false">IF(F87="","",IF((IF(D63="",IF($D$34="",0,$D$34),D63))=0,0,MAX(0,2964949.49-(IF(D64&lt;&gt;"",D64,IF($D$36&lt;&gt;"",$D$36,IF((IF(D63="",IF($D$34="",0,$D$34),D63))=0,0,D53/(IF(D63="",IF($D$34="",0,$D$34),D63)))))))*(IF(D63="",IF($D$34="",0,$D$34),D63))))</f>
        <v>0</v>
      </c>
      <c r="H87" s="75" t="n">
        <f aca="false">IF(F87="","",F87+G87)</f>
        <v>156048</v>
      </c>
      <c r="I87" s="75" t="str">
        <f aca="false">IF(E53="","",IF(1&gt;IF(E56="",10,E56),"",E53*(1+IF(E54="",0,E54))^ROUNDDOWN((1-1)/IF(E55="",5,E55),0)))</f>
        <v/>
      </c>
      <c r="J87" s="75" t="str">
        <f aca="false">IF(I87="","",IF((IF(E63="",IF($D$34="",0,$D$34),E63))=0,0,MAX(0,2964949.49-(IF(E64&lt;&gt;"",E64,IF($D$36&lt;&gt;"",$D$36,IF((IF(E63="",IF($D$34="",0,$D$34),E63))=0,0,E53/(IF(E63="",IF($D$34="",0,$D$34),E63)))))))*(IF(E63="",IF($D$34="",0,$D$34),E63))))</f>
        <v/>
      </c>
      <c r="K87" s="75" t="str">
        <f aca="false">IF(I87="","",I87+J87)</f>
        <v/>
      </c>
      <c r="L87" s="75" t="str">
        <f aca="false">IF(F53="","",IF(1&gt;IF(F56="",10,F56),"",F53*(1+IF(F54="",0,F54))^ROUNDDOWN((1-1)/IF(F55="",5,F55),0)))</f>
        <v/>
      </c>
      <c r="M87" s="75" t="str">
        <f aca="false">IF(L87="","",IF((IF(F63="",IF($D$34="",0,$D$34),F63))=0,0,MAX(0,2964949.49-(IF(F64&lt;&gt;"",F64,IF($D$36&lt;&gt;"",$D$36,IF((IF(F63="",IF($D$34="",0,$D$34),F63))=0,0,F53/(IF(F63="",IF($D$34="",0,$D$34),F63)))))))*(IF(F63="",IF($D$34="",0,$D$34),F63))))</f>
        <v/>
      </c>
      <c r="N87" s="75" t="str">
        <f aca="false">IF(L87="","",L87+M87)</f>
        <v/>
      </c>
      <c r="O87" s="75" t="str">
        <f aca="false">IF(G53="","",IF(1&gt;IF(G56="",10,G56),"",G53*(1+IF(G54="",0,G54))^ROUNDDOWN((1-1)/IF(G55="",5,G55),0)))</f>
        <v/>
      </c>
      <c r="P87" s="75" t="str">
        <f aca="false">IF(O87="","",IF((IF(G63="",IF($D$34="",0,$D$34),G63))=0,0,MAX(0,2964949.49-(IF(G64&lt;&gt;"",G64,IF($D$36&lt;&gt;"",$D$36,IF((IF(G63="",IF($D$34="",0,$D$34),G63))=0,0,G53/(IF(G63="",IF($D$34="",0,$D$34),G63)))))))*(IF(G63="",IF($D$34="",0,$D$34),G63))))</f>
        <v/>
      </c>
      <c r="Q87" s="75" t="str">
        <f aca="false">IF(O87="","",O87+P87)</f>
        <v/>
      </c>
      <c r="R87" s="75" t="str">
        <f aca="false">IF(H53="","",IF(1&gt;IF(H56="",10,H56),"",H53*(1+IF(H54="",0,H54))^ROUNDDOWN((1-1)/IF(H55="",5,H55),0)))</f>
        <v/>
      </c>
      <c r="S87" s="75" t="str">
        <f aca="false">IF(R87="","",IF((IF(H63="",IF($D$34="",0,$D$34),H63))=0,0,MAX(0,2964949.49-(IF(H64&lt;&gt;"",H64,IF($D$36&lt;&gt;"",$D$36,IF((IF(H63="",IF($D$34="",0,$D$34),H63))=0,0,H53/(IF(H63="",IF($D$34="",0,$D$34),H63)))))))*(IF(H63="",IF($D$34="",0,$D$34),H63))))</f>
        <v/>
      </c>
      <c r="T87" s="75" t="str">
        <f aca="false">IF(R87="","",R87+S87)</f>
        <v/>
      </c>
    </row>
    <row r="88" customFormat="false" ht="15" hidden="false" customHeight="false" outlineLevel="0" collapsed="false">
      <c r="A88" s="74" t="n">
        <v>2</v>
      </c>
      <c r="B88" s="75" t="n">
        <v>3024248</v>
      </c>
      <c r="C88" s="76" t="n">
        <v>156048</v>
      </c>
      <c r="D88" s="76" t="n">
        <v>0</v>
      </c>
      <c r="E88" s="76" t="n">
        <v>156048</v>
      </c>
      <c r="F88" s="75" t="n">
        <f aca="false">IF(D53="","",IF(2&gt;IF(D56="",10,D56),"",D53*(1+IF(D54="",0,D54))^ROUNDDOWN((2-1)/IF(D55="",5,D55),0)))</f>
        <v>156048</v>
      </c>
      <c r="G88" s="75" t="n">
        <f aca="false">IF(F88="","",IF((IF(D63="",IF($D$34="",0,$D$34),D63))=0,0,MAX(0,3024248.48-(IF(D64&lt;&gt;"",D64,IF($D$36&lt;&gt;"",$D$36,IF((IF(D63="",IF($D$34="",0,$D$34),D63))=0,0,D53/(IF(D63="",IF($D$34="",0,$D$34),D63)))))))*(IF(D63="",IF($D$34="",0,$D$34),D63))))</f>
        <v>0</v>
      </c>
      <c r="H88" s="75" t="n">
        <f aca="false">IF(F88="","",F88+G88)</f>
        <v>156048</v>
      </c>
      <c r="I88" s="75" t="str">
        <f aca="false">IF(E53="","",IF(2&gt;IF(E56="",10,E56),"",E53*(1+IF(E54="",0,E54))^ROUNDDOWN((2-1)/IF(E55="",5,E55),0)))</f>
        <v/>
      </c>
      <c r="J88" s="75" t="str">
        <f aca="false">IF(I88="","",IF((IF(E63="",IF($D$34="",0,$D$34),E63))=0,0,MAX(0,3024248.48-(IF(E64&lt;&gt;"",E64,IF($D$36&lt;&gt;"",$D$36,IF((IF(E63="",IF($D$34="",0,$D$34),E63))=0,0,E53/(IF(E63="",IF($D$34="",0,$D$34),E63)))))))*(IF(E63="",IF($D$34="",0,$D$34),E63))))</f>
        <v/>
      </c>
      <c r="K88" s="75" t="str">
        <f aca="false">IF(I88="","",I88+J88)</f>
        <v/>
      </c>
      <c r="L88" s="75" t="str">
        <f aca="false">IF(F53="","",IF(2&gt;IF(F56="",10,F56),"",F53*(1+IF(F54="",0,F54))^ROUNDDOWN((2-1)/IF(F55="",5,F55),0)))</f>
        <v/>
      </c>
      <c r="M88" s="75" t="str">
        <f aca="false">IF(L88="","",IF((IF(F63="",IF($D$34="",0,$D$34),F63))=0,0,MAX(0,3024248.48-(IF(F64&lt;&gt;"",F64,IF($D$36&lt;&gt;"",$D$36,IF((IF(F63="",IF($D$34="",0,$D$34),F63))=0,0,F53/(IF(F63="",IF($D$34="",0,$D$34),F63)))))))*(IF(F63="",IF($D$34="",0,$D$34),F63))))</f>
        <v/>
      </c>
      <c r="N88" s="75" t="str">
        <f aca="false">IF(L88="","",L88+M88)</f>
        <v/>
      </c>
      <c r="O88" s="75" t="str">
        <f aca="false">IF(G53="","",IF(2&gt;IF(G56="",10,G56),"",G53*(1+IF(G54="",0,G54))^ROUNDDOWN((2-1)/IF(G55="",5,G55),0)))</f>
        <v/>
      </c>
      <c r="P88" s="75" t="str">
        <f aca="false">IF(O88="","",IF((IF(G63="",IF($D$34="",0,$D$34),G63))=0,0,MAX(0,3024248.48-(IF(G64&lt;&gt;"",G64,IF($D$36&lt;&gt;"",$D$36,IF((IF(G63="",IF($D$34="",0,$D$34),G63))=0,0,G53/(IF(G63="",IF($D$34="",0,$D$34),G63)))))))*(IF(G63="",IF($D$34="",0,$D$34),G63))))</f>
        <v/>
      </c>
      <c r="Q88" s="75" t="str">
        <f aca="false">IF(O88="","",O88+P88)</f>
        <v/>
      </c>
      <c r="R88" s="75" t="str">
        <f aca="false">IF(H53="","",IF(2&gt;IF(H56="",10,H56),"",H53*(1+IF(H54="",0,H54))^ROUNDDOWN((2-1)/IF(H55="",5,H55),0)))</f>
        <v/>
      </c>
      <c r="S88" s="75" t="str">
        <f aca="false">IF(R88="","",IF((IF(H63="",IF($D$34="",0,$D$34),H63))=0,0,MAX(0,3024248.48-(IF(H64&lt;&gt;"",H64,IF($D$36&lt;&gt;"",$D$36,IF((IF(H63="",IF($D$34="",0,$D$34),H63))=0,0,H53/(IF(H63="",IF($D$34="",0,$D$34),H63)))))))*(IF(H63="",IF($D$34="",0,$D$34),H63))))</f>
        <v/>
      </c>
      <c r="T88" s="75" t="str">
        <f aca="false">IF(R88="","",R88+S88)</f>
        <v/>
      </c>
    </row>
    <row r="89" customFormat="false" ht="15" hidden="false" customHeight="false" outlineLevel="0" collapsed="false">
      <c r="A89" s="74" t="n">
        <v>3</v>
      </c>
      <c r="B89" s="75" t="n">
        <v>3084733</v>
      </c>
      <c r="C89" s="76" t="n">
        <v>156048</v>
      </c>
      <c r="D89" s="76" t="n">
        <v>0</v>
      </c>
      <c r="E89" s="76" t="n">
        <v>156048</v>
      </c>
      <c r="F89" s="75" t="n">
        <f aca="false">IF(D53="","",IF(3&gt;IF(D56="",10,D56),"",D53*(1+IF(D54="",0,D54))^ROUNDDOWN((3-1)/IF(D55="",5,D55),0)))</f>
        <v>156048</v>
      </c>
      <c r="G89" s="75" t="n">
        <f aca="false">IF(F89="","",IF((IF(D63="",IF($D$34="",0,$D$34),D63))=0,0,MAX(0,3084733.45-(IF(D64&lt;&gt;"",D64,IF($D$36&lt;&gt;"",$D$36,IF((IF(D63="",IF($D$34="",0,$D$34),D63))=0,0,D53/(IF(D63="",IF($D$34="",0,$D$34),D63)))))))*(IF(D63="",IF($D$34="",0,$D$34),D63))))</f>
        <v>0</v>
      </c>
      <c r="H89" s="75" t="n">
        <f aca="false">IF(F89="","",F89+G89)</f>
        <v>156048</v>
      </c>
      <c r="I89" s="75" t="str">
        <f aca="false">IF(E53="","",IF(3&gt;IF(E56="",10,E56),"",E53*(1+IF(E54="",0,E54))^ROUNDDOWN((3-1)/IF(E55="",5,E55),0)))</f>
        <v/>
      </c>
      <c r="J89" s="75" t="str">
        <f aca="false">IF(I89="","",IF((IF(E63="",IF($D$34="",0,$D$34),E63))=0,0,MAX(0,3084733.45-(IF(E64&lt;&gt;"",E64,IF($D$36&lt;&gt;"",$D$36,IF((IF(E63="",IF($D$34="",0,$D$34),E63))=0,0,E53/(IF(E63="",IF($D$34="",0,$D$34),E63)))))))*(IF(E63="",IF($D$34="",0,$D$34),E63))))</f>
        <v/>
      </c>
      <c r="K89" s="75" t="str">
        <f aca="false">IF(I89="","",I89+J89)</f>
        <v/>
      </c>
      <c r="L89" s="75" t="str">
        <f aca="false">IF(F53="","",IF(3&gt;IF(F56="",10,F56),"",F53*(1+IF(F54="",0,F54))^ROUNDDOWN((3-1)/IF(F55="",5,F55),0)))</f>
        <v/>
      </c>
      <c r="M89" s="75" t="str">
        <f aca="false">IF(L89="","",IF((IF(F63="",IF($D$34="",0,$D$34),F63))=0,0,MAX(0,3084733.45-(IF(F64&lt;&gt;"",F64,IF($D$36&lt;&gt;"",$D$36,IF((IF(F63="",IF($D$34="",0,$D$34),F63))=0,0,F53/(IF(F63="",IF($D$34="",0,$D$34),F63)))))))*(IF(F63="",IF($D$34="",0,$D$34),F63))))</f>
        <v/>
      </c>
      <c r="N89" s="75" t="str">
        <f aca="false">IF(L89="","",L89+M89)</f>
        <v/>
      </c>
      <c r="O89" s="75" t="str">
        <f aca="false">IF(G53="","",IF(3&gt;IF(G56="",10,G56),"",G53*(1+IF(G54="",0,G54))^ROUNDDOWN((3-1)/IF(G55="",5,G55),0)))</f>
        <v/>
      </c>
      <c r="P89" s="75" t="str">
        <f aca="false">IF(O89="","",IF((IF(G63="",IF($D$34="",0,$D$34),G63))=0,0,MAX(0,3084733.45-(IF(G64&lt;&gt;"",G64,IF($D$36&lt;&gt;"",$D$36,IF((IF(G63="",IF($D$34="",0,$D$34),G63))=0,0,G53/(IF(G63="",IF($D$34="",0,$D$34),G63)))))))*(IF(G63="",IF($D$34="",0,$D$34),G63))))</f>
        <v/>
      </c>
      <c r="Q89" s="75" t="str">
        <f aca="false">IF(O89="","",O89+P89)</f>
        <v/>
      </c>
      <c r="R89" s="75" t="str">
        <f aca="false">IF(H53="","",IF(3&gt;IF(H56="",10,H56),"",H53*(1+IF(H54="",0,H54))^ROUNDDOWN((3-1)/IF(H55="",5,H55),0)))</f>
        <v/>
      </c>
      <c r="S89" s="75" t="str">
        <f aca="false">IF(R89="","",IF((IF(H63="",IF($D$34="",0,$D$34),H63))=0,0,MAX(0,3084733.45-(IF(H64&lt;&gt;"",H64,IF($D$36&lt;&gt;"",$D$36,IF((IF(H63="",IF($D$34="",0,$D$34),H63))=0,0,H53/(IF(H63="",IF($D$34="",0,$D$34),H63)))))))*(IF(H63="",IF($D$34="",0,$D$34),H63))))</f>
        <v/>
      </c>
      <c r="T89" s="75" t="str">
        <f aca="false">IF(R89="","",R89+S89)</f>
        <v/>
      </c>
    </row>
    <row r="90" customFormat="false" ht="15" hidden="false" customHeight="false" outlineLevel="0" collapsed="false">
      <c r="A90" s="74" t="n">
        <v>4</v>
      </c>
      <c r="B90" s="75" t="n">
        <v>3146428</v>
      </c>
      <c r="C90" s="76" t="n">
        <v>156048</v>
      </c>
      <c r="D90" s="76" t="n">
        <v>0</v>
      </c>
      <c r="E90" s="76" t="n">
        <v>156048</v>
      </c>
      <c r="F90" s="75" t="n">
        <f aca="false">IF(D53="","",IF(4&gt;IF(D56="",10,D56),"",D53*(1+IF(D54="",0,D54))^ROUNDDOWN((4-1)/IF(D55="",5,D55),0)))</f>
        <v>156048</v>
      </c>
      <c r="G90" s="75" t="n">
        <f aca="false">IF(F90="","",IF((IF(D63="",IF($D$34="",0,$D$34),D63))=0,0,MAX(0,3146428.12-(IF(D64&lt;&gt;"",D64,IF($D$36&lt;&gt;"",$D$36,IF((IF(D63="",IF($D$34="",0,$D$34),D63))=0,0,D53/(IF(D63="",IF($D$34="",0,$D$34),D63)))))))*(IF(D63="",IF($D$34="",0,$D$34),D63))))</f>
        <v>0</v>
      </c>
      <c r="H90" s="75" t="n">
        <f aca="false">IF(F90="","",F90+G90)</f>
        <v>156048</v>
      </c>
      <c r="I90" s="75" t="str">
        <f aca="false">IF(E53="","",IF(4&gt;IF(E56="",10,E56),"",E53*(1+IF(E54="",0,E54))^ROUNDDOWN((4-1)/IF(E55="",5,E55),0)))</f>
        <v/>
      </c>
      <c r="J90" s="75" t="str">
        <f aca="false">IF(I90="","",IF((IF(E63="",IF($D$34="",0,$D$34),E63))=0,0,MAX(0,3146428.12-(IF(E64&lt;&gt;"",E64,IF($D$36&lt;&gt;"",$D$36,IF((IF(E63="",IF($D$34="",0,$D$34),E63))=0,0,E53/(IF(E63="",IF($D$34="",0,$D$34),E63)))))))*(IF(E63="",IF($D$34="",0,$D$34),E63))))</f>
        <v/>
      </c>
      <c r="K90" s="75" t="str">
        <f aca="false">IF(I90="","",I90+J90)</f>
        <v/>
      </c>
      <c r="L90" s="75" t="str">
        <f aca="false">IF(F53="","",IF(4&gt;IF(F56="",10,F56),"",F53*(1+IF(F54="",0,F54))^ROUNDDOWN((4-1)/IF(F55="",5,F55),0)))</f>
        <v/>
      </c>
      <c r="M90" s="75" t="str">
        <f aca="false">IF(L90="","",IF((IF(F63="",IF($D$34="",0,$D$34),F63))=0,0,MAX(0,3146428.12-(IF(F64&lt;&gt;"",F64,IF($D$36&lt;&gt;"",$D$36,IF((IF(F63="",IF($D$34="",0,$D$34),F63))=0,0,F53/(IF(F63="",IF($D$34="",0,$D$34),F63)))))))*(IF(F63="",IF($D$34="",0,$D$34),F63))))</f>
        <v/>
      </c>
      <c r="N90" s="75" t="str">
        <f aca="false">IF(L90="","",L90+M90)</f>
        <v/>
      </c>
      <c r="O90" s="75" t="str">
        <f aca="false">IF(G53="","",IF(4&gt;IF(G56="",10,G56),"",G53*(1+IF(G54="",0,G54))^ROUNDDOWN((4-1)/IF(G55="",5,G55),0)))</f>
        <v/>
      </c>
      <c r="P90" s="75" t="str">
        <f aca="false">IF(O90="","",IF((IF(G63="",IF($D$34="",0,$D$34),G63))=0,0,MAX(0,3146428.12-(IF(G64&lt;&gt;"",G64,IF($D$36&lt;&gt;"",$D$36,IF((IF(G63="",IF($D$34="",0,$D$34),G63))=0,0,G53/(IF(G63="",IF($D$34="",0,$D$34),G63)))))))*(IF(G63="",IF($D$34="",0,$D$34),G63))))</f>
        <v/>
      </c>
      <c r="Q90" s="75" t="str">
        <f aca="false">IF(O90="","",O90+P90)</f>
        <v/>
      </c>
      <c r="R90" s="75" t="str">
        <f aca="false">IF(H53="","",IF(4&gt;IF(H56="",10,H56),"",H53*(1+IF(H54="",0,H54))^ROUNDDOWN((4-1)/IF(H55="",5,H55),0)))</f>
        <v/>
      </c>
      <c r="S90" s="75" t="str">
        <f aca="false">IF(R90="","",IF((IF(H63="",IF($D$34="",0,$D$34),H63))=0,0,MAX(0,3146428.12-(IF(H64&lt;&gt;"",H64,IF($D$36&lt;&gt;"",$D$36,IF((IF(H63="",IF($D$34="",0,$D$34),H63))=0,0,H53/(IF(H63="",IF($D$34="",0,$D$34),H63)))))))*(IF(H63="",IF($D$34="",0,$D$34),H63))))</f>
        <v/>
      </c>
      <c r="T90" s="75" t="str">
        <f aca="false">IF(R90="","",R90+S90)</f>
        <v/>
      </c>
    </row>
    <row r="91" customFormat="false" ht="15" hidden="false" customHeight="false" outlineLevel="0" collapsed="false">
      <c r="A91" s="74" t="n">
        <v>5</v>
      </c>
      <c r="B91" s="75" t="n">
        <v>3209357</v>
      </c>
      <c r="C91" s="76" t="n">
        <v>156048</v>
      </c>
      <c r="D91" s="76" t="n">
        <v>0</v>
      </c>
      <c r="E91" s="76" t="n">
        <v>156048</v>
      </c>
      <c r="F91" s="75" t="n">
        <f aca="false">IF(D53="","",IF(5&gt;IF(D56="",10,D56),"",D53*(1+IF(D54="",0,D54))^ROUNDDOWN((5-1)/IF(D55="",5,D55),0)))</f>
        <v>156048</v>
      </c>
      <c r="G91" s="75" t="n">
        <f aca="false">IF(F91="","",IF((IF(D63="",IF($D$34="",0,$D$34),D63))=0,0,MAX(0,3209356.68-(IF(D64&lt;&gt;"",D64,IF($D$36&lt;&gt;"",$D$36,IF((IF(D63="",IF($D$34="",0,$D$34),D63))=0,0,D53/(IF(D63="",IF($D$34="",0,$D$34),D63)))))))*(IF(D63="",IF($D$34="",0,$D$34),D63))))</f>
        <v>0</v>
      </c>
      <c r="H91" s="75" t="n">
        <f aca="false">IF(F91="","",F91+G91)</f>
        <v>156048</v>
      </c>
      <c r="I91" s="75" t="str">
        <f aca="false">IF(E53="","",IF(5&gt;IF(E56="",10,E56),"",E53*(1+IF(E54="",0,E54))^ROUNDDOWN((5-1)/IF(E55="",5,E55),0)))</f>
        <v/>
      </c>
      <c r="J91" s="75" t="str">
        <f aca="false">IF(I91="","",IF((IF(E63="",IF($D$34="",0,$D$34),E63))=0,0,MAX(0,3209356.68-(IF(E64&lt;&gt;"",E64,IF($D$36&lt;&gt;"",$D$36,IF((IF(E63="",IF($D$34="",0,$D$34),E63))=0,0,E53/(IF(E63="",IF($D$34="",0,$D$34),E63)))))))*(IF(E63="",IF($D$34="",0,$D$34),E63))))</f>
        <v/>
      </c>
      <c r="K91" s="75" t="str">
        <f aca="false">IF(I91="","",I91+J91)</f>
        <v/>
      </c>
      <c r="L91" s="75" t="str">
        <f aca="false">IF(F53="","",IF(5&gt;IF(F56="",10,F56),"",F53*(1+IF(F54="",0,F54))^ROUNDDOWN((5-1)/IF(F55="",5,F55),0)))</f>
        <v/>
      </c>
      <c r="M91" s="75" t="str">
        <f aca="false">IF(L91="","",IF((IF(F63="",IF($D$34="",0,$D$34),F63))=0,0,MAX(0,3209356.68-(IF(F64&lt;&gt;"",F64,IF($D$36&lt;&gt;"",$D$36,IF((IF(F63="",IF($D$34="",0,$D$34),F63))=0,0,F53/(IF(F63="",IF($D$34="",0,$D$34),F63)))))))*(IF(F63="",IF($D$34="",0,$D$34),F63))))</f>
        <v/>
      </c>
      <c r="N91" s="75" t="str">
        <f aca="false">IF(L91="","",L91+M91)</f>
        <v/>
      </c>
      <c r="O91" s="75" t="str">
        <f aca="false">IF(G53="","",IF(5&gt;IF(G56="",10,G56),"",G53*(1+IF(G54="",0,G54))^ROUNDDOWN((5-1)/IF(G55="",5,G55),0)))</f>
        <v/>
      </c>
      <c r="P91" s="75" t="str">
        <f aca="false">IF(O91="","",IF((IF(G63="",IF($D$34="",0,$D$34),G63))=0,0,MAX(0,3209356.68-(IF(G64&lt;&gt;"",G64,IF($D$36&lt;&gt;"",$D$36,IF((IF(G63="",IF($D$34="",0,$D$34),G63))=0,0,G53/(IF(G63="",IF($D$34="",0,$D$34),G63)))))))*(IF(G63="",IF($D$34="",0,$D$34),G63))))</f>
        <v/>
      </c>
      <c r="Q91" s="75" t="str">
        <f aca="false">IF(O91="","",O91+P91)</f>
        <v/>
      </c>
      <c r="R91" s="75" t="str">
        <f aca="false">IF(H53="","",IF(5&gt;IF(H56="",10,H56),"",H53*(1+IF(H54="",0,H54))^ROUNDDOWN((5-1)/IF(H55="",5,H55),0)))</f>
        <v/>
      </c>
      <c r="S91" s="75" t="str">
        <f aca="false">IF(R91="","",IF((IF(H63="",IF($D$34="",0,$D$34),H63))=0,0,MAX(0,3209356.68-(IF(H64&lt;&gt;"",H64,IF($D$36&lt;&gt;"",$D$36,IF((IF(H63="",IF($D$34="",0,$D$34),H63))=0,0,H53/(IF(H63="",IF($D$34="",0,$D$34),H63)))))))*(IF(H63="",IF($D$34="",0,$D$34),H63))))</f>
        <v/>
      </c>
      <c r="T91" s="75" t="str">
        <f aca="false">IF(R91="","",R91+S91)</f>
        <v/>
      </c>
    </row>
    <row r="92" customFormat="false" ht="15" hidden="false" customHeight="false" outlineLevel="0" collapsed="false">
      <c r="A92" s="74" t="n">
        <v>6</v>
      </c>
      <c r="B92" s="75" t="n">
        <v>3273544</v>
      </c>
      <c r="C92" s="76" t="n">
        <v>156048</v>
      </c>
      <c r="D92" s="76" t="n">
        <v>0</v>
      </c>
      <c r="E92" s="76" t="n">
        <v>156048</v>
      </c>
      <c r="F92" s="75" t="n">
        <f aca="false">IF(D53="","",IF(6&gt;IF(D56="",10,D56),"",D53*(1+IF(D54="",0,D54))^ROUNDDOWN((6-1)/IF(D55="",5,D55),0)))</f>
        <v>159168.96</v>
      </c>
      <c r="G92" s="75" t="n">
        <f aca="false">IF(F92="","",IF((IF(D63="",IF($D$34="",0,$D$34),D63))=0,0,MAX(0,3273543.81-(IF(D64&lt;&gt;"",D64,IF($D$36&lt;&gt;"",$D$36,IF((IF(D63="",IF($D$34="",0,$D$34),D63))=0,0,D53/(IF(D63="",IF($D$34="",0,$D$34),D63)))))))*(IF(D63="",IF($D$34="",0,$D$34),D63))))</f>
        <v>0</v>
      </c>
      <c r="H92" s="75" t="n">
        <f aca="false">IF(F92="","",F92+G92)</f>
        <v>159168.96</v>
      </c>
      <c r="I92" s="75" t="str">
        <f aca="false">IF(E53="","",IF(6&gt;IF(E56="",10,E56),"",E53*(1+IF(E54="",0,E54))^ROUNDDOWN((6-1)/IF(E55="",5,E55),0)))</f>
        <v/>
      </c>
      <c r="J92" s="75" t="str">
        <f aca="false">IF(I92="","",IF((IF(E63="",IF($D$34="",0,$D$34),E63))=0,0,MAX(0,3273543.81-(IF(E64&lt;&gt;"",E64,IF($D$36&lt;&gt;"",$D$36,IF((IF(E63="",IF($D$34="",0,$D$34),E63))=0,0,E53/(IF(E63="",IF($D$34="",0,$D$34),E63)))))))*(IF(E63="",IF($D$34="",0,$D$34),E63))))</f>
        <v/>
      </c>
      <c r="K92" s="75" t="str">
        <f aca="false">IF(I92="","",I92+J92)</f>
        <v/>
      </c>
      <c r="L92" s="75" t="str">
        <f aca="false">IF(F53="","",IF(6&gt;IF(F56="",10,F56),"",F53*(1+IF(F54="",0,F54))^ROUNDDOWN((6-1)/IF(F55="",5,F55),0)))</f>
        <v/>
      </c>
      <c r="M92" s="75" t="str">
        <f aca="false">IF(L92="","",IF((IF(F63="",IF($D$34="",0,$D$34),F63))=0,0,MAX(0,3273543.81-(IF(F64&lt;&gt;"",F64,IF($D$36&lt;&gt;"",$D$36,IF((IF(F63="",IF($D$34="",0,$D$34),F63))=0,0,F53/(IF(F63="",IF($D$34="",0,$D$34),F63)))))))*(IF(F63="",IF($D$34="",0,$D$34),F63))))</f>
        <v/>
      </c>
      <c r="N92" s="75" t="str">
        <f aca="false">IF(L92="","",L92+M92)</f>
        <v/>
      </c>
      <c r="O92" s="75" t="str">
        <f aca="false">IF(G53="","",IF(6&gt;IF(G56="",10,G56),"",G53*(1+IF(G54="",0,G54))^ROUNDDOWN((6-1)/IF(G55="",5,G55),0)))</f>
        <v/>
      </c>
      <c r="P92" s="75" t="str">
        <f aca="false">IF(O92="","",IF((IF(G63="",IF($D$34="",0,$D$34),G63))=0,0,MAX(0,3273543.81-(IF(G64&lt;&gt;"",G64,IF($D$36&lt;&gt;"",$D$36,IF((IF(G63="",IF($D$34="",0,$D$34),G63))=0,0,G53/(IF(G63="",IF($D$34="",0,$D$34),G63)))))))*(IF(G63="",IF($D$34="",0,$D$34),G63))))</f>
        <v/>
      </c>
      <c r="Q92" s="75" t="str">
        <f aca="false">IF(O92="","",O92+P92)</f>
        <v/>
      </c>
      <c r="R92" s="75" t="str">
        <f aca="false">IF(H53="","",IF(6&gt;IF(H56="",10,H56),"",H53*(1+IF(H54="",0,H54))^ROUNDDOWN((6-1)/IF(H55="",5,H55),0)))</f>
        <v/>
      </c>
      <c r="S92" s="75" t="str">
        <f aca="false">IF(R92="","",IF((IF(H63="",IF($D$34="",0,$D$34),H63))=0,0,MAX(0,3273543.81-(IF(H64&lt;&gt;"",H64,IF($D$36&lt;&gt;"",$D$36,IF((IF(H63="",IF($D$34="",0,$D$34),H63))=0,0,H53/(IF(H63="",IF($D$34="",0,$D$34),H63)))))))*(IF(H63="",IF($D$34="",0,$D$34),H63))))</f>
        <v/>
      </c>
      <c r="T92" s="75" t="str">
        <f aca="false">IF(R92="","",R92+S92)</f>
        <v/>
      </c>
    </row>
    <row r="93" customFormat="false" ht="15" hidden="false" customHeight="false" outlineLevel="0" collapsed="false">
      <c r="A93" s="74" t="n">
        <v>7</v>
      </c>
      <c r="B93" s="75" t="n">
        <v>3339015</v>
      </c>
      <c r="C93" s="76" t="n">
        <v>156048</v>
      </c>
      <c r="D93" s="76" t="n">
        <v>0</v>
      </c>
      <c r="E93" s="76" t="n">
        <v>156048</v>
      </c>
      <c r="F93" s="75" t="n">
        <f aca="false">IF(D53="","",IF(7&gt;IF(D56="",10,D56),"",D53*(1+IF(D54="",0,D54))^ROUNDDOWN((7-1)/IF(D55="",5,D55),0)))</f>
        <v>159168.96</v>
      </c>
      <c r="G93" s="75" t="n">
        <f aca="false">IF(F93="","",IF((IF(D63="",IF($D$34="",0,$D$34),D63))=0,0,MAX(0,3339014.69-(IF(D64&lt;&gt;"",D64,IF($D$36&lt;&gt;"",$D$36,IF((IF(D63="",IF($D$34="",0,$D$34),D63))=0,0,D53/(IF(D63="",IF($D$34="",0,$D$34),D63)))))))*(IF(D63="",IF($D$34="",0,$D$34),D63))))</f>
        <v>0</v>
      </c>
      <c r="H93" s="75" t="n">
        <f aca="false">IF(F93="","",F93+G93)</f>
        <v>159168.96</v>
      </c>
      <c r="I93" s="75" t="str">
        <f aca="false">IF(E53="","",IF(7&gt;IF(E56="",10,E56),"",E53*(1+IF(E54="",0,E54))^ROUNDDOWN((7-1)/IF(E55="",5,E55),0)))</f>
        <v/>
      </c>
      <c r="J93" s="75" t="str">
        <f aca="false">IF(I93="","",IF((IF(E63="",IF($D$34="",0,$D$34),E63))=0,0,MAX(0,3339014.69-(IF(E64&lt;&gt;"",E64,IF($D$36&lt;&gt;"",$D$36,IF((IF(E63="",IF($D$34="",0,$D$34),E63))=0,0,E53/(IF(E63="",IF($D$34="",0,$D$34),E63)))))))*(IF(E63="",IF($D$34="",0,$D$34),E63))))</f>
        <v/>
      </c>
      <c r="K93" s="75" t="str">
        <f aca="false">IF(I93="","",I93+J93)</f>
        <v/>
      </c>
      <c r="L93" s="75" t="str">
        <f aca="false">IF(F53="","",IF(7&gt;IF(F56="",10,F56),"",F53*(1+IF(F54="",0,F54))^ROUNDDOWN((7-1)/IF(F55="",5,F55),0)))</f>
        <v/>
      </c>
      <c r="M93" s="75" t="str">
        <f aca="false">IF(L93="","",IF((IF(F63="",IF($D$34="",0,$D$34),F63))=0,0,MAX(0,3339014.69-(IF(F64&lt;&gt;"",F64,IF($D$36&lt;&gt;"",$D$36,IF((IF(F63="",IF($D$34="",0,$D$34),F63))=0,0,F53/(IF(F63="",IF($D$34="",0,$D$34),F63)))))))*(IF(F63="",IF($D$34="",0,$D$34),F63))))</f>
        <v/>
      </c>
      <c r="N93" s="75" t="str">
        <f aca="false">IF(L93="","",L93+M93)</f>
        <v/>
      </c>
      <c r="O93" s="75" t="str">
        <f aca="false">IF(G53="","",IF(7&gt;IF(G56="",10,G56),"",G53*(1+IF(G54="",0,G54))^ROUNDDOWN((7-1)/IF(G55="",5,G55),0)))</f>
        <v/>
      </c>
      <c r="P93" s="75" t="str">
        <f aca="false">IF(O93="","",IF((IF(G63="",IF($D$34="",0,$D$34),G63))=0,0,MAX(0,3339014.69-(IF(G64&lt;&gt;"",G64,IF($D$36&lt;&gt;"",$D$36,IF((IF(G63="",IF($D$34="",0,$D$34),G63))=0,0,G53/(IF(G63="",IF($D$34="",0,$D$34),G63)))))))*(IF(G63="",IF($D$34="",0,$D$34),G63))))</f>
        <v/>
      </c>
      <c r="Q93" s="75" t="str">
        <f aca="false">IF(O93="","",O93+P93)</f>
        <v/>
      </c>
      <c r="R93" s="75" t="str">
        <f aca="false">IF(H53="","",IF(7&gt;IF(H56="",10,H56),"",H53*(1+IF(H54="",0,H54))^ROUNDDOWN((7-1)/IF(H55="",5,H55),0)))</f>
        <v/>
      </c>
      <c r="S93" s="75" t="str">
        <f aca="false">IF(R93="","",IF((IF(H63="",IF($D$34="",0,$D$34),H63))=0,0,MAX(0,3339014.69-(IF(H64&lt;&gt;"",H64,IF($D$36&lt;&gt;"",$D$36,IF((IF(H63="",IF($D$34="",0,$D$34),H63))=0,0,H53/(IF(H63="",IF($D$34="",0,$D$34),H63)))))))*(IF(H63="",IF($D$34="",0,$D$34),H63))))</f>
        <v/>
      </c>
      <c r="T93" s="75" t="str">
        <f aca="false">IF(R93="","",R93+S93)</f>
        <v/>
      </c>
    </row>
    <row r="94" customFormat="false" ht="15" hidden="false" customHeight="false" outlineLevel="0" collapsed="false">
      <c r="A94" s="74" t="n">
        <v>8</v>
      </c>
      <c r="B94" s="75" t="n">
        <v>3405795</v>
      </c>
      <c r="C94" s="76" t="n">
        <v>156048</v>
      </c>
      <c r="D94" s="76" t="n">
        <v>0</v>
      </c>
      <c r="E94" s="76" t="n">
        <v>156048</v>
      </c>
      <c r="F94" s="75" t="n">
        <f aca="false">IF(D53="","",IF(8&gt;IF(D56="",10,D56),"",D53*(1+IF(D54="",0,D54))^ROUNDDOWN((8-1)/IF(D55="",5,D55),0)))</f>
        <v>159168.96</v>
      </c>
      <c r="G94" s="75" t="n">
        <f aca="false">IF(F94="","",IF((IF(D63="",IF($D$34="",0,$D$34),D63))=0,0,MAX(0,3405794.98-(IF(D64&lt;&gt;"",D64,IF($D$36&lt;&gt;"",$D$36,IF((IF(D63="",IF($D$34="",0,$D$34),D63))=0,0,D53/(IF(D63="",IF($D$34="",0,$D$34),D63)))))))*(IF(D63="",IF($D$34="",0,$D$34),D63))))</f>
        <v>0</v>
      </c>
      <c r="H94" s="75" t="n">
        <f aca="false">IF(F94="","",F94+G94)</f>
        <v>159168.96</v>
      </c>
      <c r="I94" s="75" t="str">
        <f aca="false">IF(E53="","",IF(8&gt;IF(E56="",10,E56),"",E53*(1+IF(E54="",0,E54))^ROUNDDOWN((8-1)/IF(E55="",5,E55),0)))</f>
        <v/>
      </c>
      <c r="J94" s="75" t="str">
        <f aca="false">IF(I94="","",IF((IF(E63="",IF($D$34="",0,$D$34),E63))=0,0,MAX(0,3405794.98-(IF(E64&lt;&gt;"",E64,IF($D$36&lt;&gt;"",$D$36,IF((IF(E63="",IF($D$34="",0,$D$34),E63))=0,0,E53/(IF(E63="",IF($D$34="",0,$D$34),E63)))))))*(IF(E63="",IF($D$34="",0,$D$34),E63))))</f>
        <v/>
      </c>
      <c r="K94" s="75" t="str">
        <f aca="false">IF(I94="","",I94+J94)</f>
        <v/>
      </c>
      <c r="L94" s="75" t="str">
        <f aca="false">IF(F53="","",IF(8&gt;IF(F56="",10,F56),"",F53*(1+IF(F54="",0,F54))^ROUNDDOWN((8-1)/IF(F55="",5,F55),0)))</f>
        <v/>
      </c>
      <c r="M94" s="75" t="str">
        <f aca="false">IF(L94="","",IF((IF(F63="",IF($D$34="",0,$D$34),F63))=0,0,MAX(0,3405794.98-(IF(F64&lt;&gt;"",F64,IF($D$36&lt;&gt;"",$D$36,IF((IF(F63="",IF($D$34="",0,$D$34),F63))=0,0,F53/(IF(F63="",IF($D$34="",0,$D$34),F63)))))))*(IF(F63="",IF($D$34="",0,$D$34),F63))))</f>
        <v/>
      </c>
      <c r="N94" s="75" t="str">
        <f aca="false">IF(L94="","",L94+M94)</f>
        <v/>
      </c>
      <c r="O94" s="75" t="str">
        <f aca="false">IF(G53="","",IF(8&gt;IF(G56="",10,G56),"",G53*(1+IF(G54="",0,G54))^ROUNDDOWN((8-1)/IF(G55="",5,G55),0)))</f>
        <v/>
      </c>
      <c r="P94" s="75" t="str">
        <f aca="false">IF(O94="","",IF((IF(G63="",IF($D$34="",0,$D$34),G63))=0,0,MAX(0,3405794.98-(IF(G64&lt;&gt;"",G64,IF($D$36&lt;&gt;"",$D$36,IF((IF(G63="",IF($D$34="",0,$D$34),G63))=0,0,G53/(IF(G63="",IF($D$34="",0,$D$34),G63)))))))*(IF(G63="",IF($D$34="",0,$D$34),G63))))</f>
        <v/>
      </c>
      <c r="Q94" s="75" t="str">
        <f aca="false">IF(O94="","",O94+P94)</f>
        <v/>
      </c>
      <c r="R94" s="75" t="str">
        <f aca="false">IF(H53="","",IF(8&gt;IF(H56="",10,H56),"",H53*(1+IF(H54="",0,H54))^ROUNDDOWN((8-1)/IF(H55="",5,H55),0)))</f>
        <v/>
      </c>
      <c r="S94" s="75" t="str">
        <f aca="false">IF(R94="","",IF((IF(H63="",IF($D$34="",0,$D$34),H63))=0,0,MAX(0,3405794.98-(IF(H64&lt;&gt;"",H64,IF($D$36&lt;&gt;"",$D$36,IF((IF(H63="",IF($D$34="",0,$D$34),H63))=0,0,H53/(IF(H63="",IF($D$34="",0,$D$34),H63)))))))*(IF(H63="",IF($D$34="",0,$D$34),H63))))</f>
        <v/>
      </c>
      <c r="T94" s="75" t="str">
        <f aca="false">IF(R94="","",R94+S94)</f>
        <v/>
      </c>
    </row>
    <row r="95" customFormat="false" ht="15" hidden="false" customHeight="false" outlineLevel="0" collapsed="false">
      <c r="A95" s="74" t="n">
        <v>9</v>
      </c>
      <c r="B95" s="75" t="n">
        <v>3473911</v>
      </c>
      <c r="C95" s="76" t="n">
        <v>156048</v>
      </c>
      <c r="D95" s="76" t="n">
        <v>0</v>
      </c>
      <c r="E95" s="76" t="n">
        <v>156048</v>
      </c>
      <c r="F95" s="75" t="n">
        <f aca="false">IF(D53="","",IF(9&gt;IF(D56="",10,D56),"",D53*(1+IF(D54="",0,D54))^ROUNDDOWN((9-1)/IF(D55="",5,D55),0)))</f>
        <v>159168.96</v>
      </c>
      <c r="G95" s="75" t="n">
        <f aca="false">IF(F95="","",IF((IF(D63="",IF($D$34="",0,$D$34),D63))=0,0,MAX(0,3473910.88-(IF(D64&lt;&gt;"",D64,IF($D$36&lt;&gt;"",$D$36,IF((IF(D63="",IF($D$34="",0,$D$34),D63))=0,0,D53/(IF(D63="",IF($D$34="",0,$D$34),D63)))))))*(IF(D63="",IF($D$34="",0,$D$34),D63))))</f>
        <v>0</v>
      </c>
      <c r="H95" s="75" t="n">
        <f aca="false">IF(F95="","",F95+G95)</f>
        <v>159168.96</v>
      </c>
      <c r="I95" s="75" t="str">
        <f aca="false">IF(E53="","",IF(9&gt;IF(E56="",10,E56),"",E53*(1+IF(E54="",0,E54))^ROUNDDOWN((9-1)/IF(E55="",5,E55),0)))</f>
        <v/>
      </c>
      <c r="J95" s="75" t="str">
        <f aca="false">IF(I95="","",IF((IF(E63="",IF($D$34="",0,$D$34),E63))=0,0,MAX(0,3473910.88-(IF(E64&lt;&gt;"",E64,IF($D$36&lt;&gt;"",$D$36,IF((IF(E63="",IF($D$34="",0,$D$34),E63))=0,0,E53/(IF(E63="",IF($D$34="",0,$D$34),E63)))))))*(IF(E63="",IF($D$34="",0,$D$34),E63))))</f>
        <v/>
      </c>
      <c r="K95" s="75" t="str">
        <f aca="false">IF(I95="","",I95+J95)</f>
        <v/>
      </c>
      <c r="L95" s="75" t="str">
        <f aca="false">IF(F53="","",IF(9&gt;IF(F56="",10,F56),"",F53*(1+IF(F54="",0,F54))^ROUNDDOWN((9-1)/IF(F55="",5,F55),0)))</f>
        <v/>
      </c>
      <c r="M95" s="75" t="str">
        <f aca="false">IF(L95="","",IF((IF(F63="",IF($D$34="",0,$D$34),F63))=0,0,MAX(0,3473910.88-(IF(F64&lt;&gt;"",F64,IF($D$36&lt;&gt;"",$D$36,IF((IF(F63="",IF($D$34="",0,$D$34),F63))=0,0,F53/(IF(F63="",IF($D$34="",0,$D$34),F63)))))))*(IF(F63="",IF($D$34="",0,$D$34),F63))))</f>
        <v/>
      </c>
      <c r="N95" s="75" t="str">
        <f aca="false">IF(L95="","",L95+M95)</f>
        <v/>
      </c>
      <c r="O95" s="75" t="str">
        <f aca="false">IF(G53="","",IF(9&gt;IF(G56="",10,G56),"",G53*(1+IF(G54="",0,G54))^ROUNDDOWN((9-1)/IF(G55="",5,G55),0)))</f>
        <v/>
      </c>
      <c r="P95" s="75" t="str">
        <f aca="false">IF(O95="","",IF((IF(G63="",IF($D$34="",0,$D$34),G63))=0,0,MAX(0,3473910.88-(IF(G64&lt;&gt;"",G64,IF($D$36&lt;&gt;"",$D$36,IF((IF(G63="",IF($D$34="",0,$D$34),G63))=0,0,G53/(IF(G63="",IF($D$34="",0,$D$34),G63)))))))*(IF(G63="",IF($D$34="",0,$D$34),G63))))</f>
        <v/>
      </c>
      <c r="Q95" s="75" t="str">
        <f aca="false">IF(O95="","",O95+P95)</f>
        <v/>
      </c>
      <c r="R95" s="75" t="str">
        <f aca="false">IF(H53="","",IF(9&gt;IF(H56="",10,H56),"",H53*(1+IF(H54="",0,H54))^ROUNDDOWN((9-1)/IF(H55="",5,H55),0)))</f>
        <v/>
      </c>
      <c r="S95" s="75" t="str">
        <f aca="false">IF(R95="","",IF((IF(H63="",IF($D$34="",0,$D$34),H63))=0,0,MAX(0,3473910.88-(IF(H64&lt;&gt;"",H64,IF($D$36&lt;&gt;"",$D$36,IF((IF(H63="",IF($D$34="",0,$D$34),H63))=0,0,H53/(IF(H63="",IF($D$34="",0,$D$34),H63)))))))*(IF(H63="",IF($D$34="",0,$D$34),H63))))</f>
        <v/>
      </c>
      <c r="T95" s="75" t="str">
        <f aca="false">IF(R95="","",R95+S95)</f>
        <v/>
      </c>
    </row>
    <row r="96" customFormat="false" ht="15" hidden="false" customHeight="false" outlineLevel="0" collapsed="false">
      <c r="A96" s="74" t="n">
        <v>10</v>
      </c>
      <c r="B96" s="75" t="n">
        <v>3543389</v>
      </c>
      <c r="C96" s="76" t="n">
        <v>156048</v>
      </c>
      <c r="D96" s="76" t="n">
        <v>0</v>
      </c>
      <c r="E96" s="76" t="n">
        <v>156048</v>
      </c>
      <c r="F96" s="75" t="n">
        <f aca="false">IF(D53="","",IF(10&gt;IF(D56="",10,D56),"",D53*(1+IF(D54="",0,D54))^ROUNDDOWN((10-1)/IF(D55="",5,D55),0)))</f>
        <v>159168.96</v>
      </c>
      <c r="G96" s="75" t="n">
        <f aca="false">IF(F96="","",IF((IF(D63="",IF($D$34="",0,$D$34),D63))=0,0,MAX(0,3543389.1-(IF(D64&lt;&gt;"",D64,IF($D$36&lt;&gt;"",$D$36,IF((IF(D63="",IF($D$34="",0,$D$34),D63))=0,0,D53/(IF(D63="",IF($D$34="",0,$D$34),D63)))))))*(IF(D63="",IF($D$34="",0,$D$34),D63))))</f>
        <v>0</v>
      </c>
      <c r="H96" s="75" t="n">
        <f aca="false">IF(F96="","",F96+G96)</f>
        <v>159168.96</v>
      </c>
      <c r="I96" s="75" t="str">
        <f aca="false">IF(E53="","",IF(10&gt;IF(E56="",10,E56),"",E53*(1+IF(E54="",0,E54))^ROUNDDOWN((10-1)/IF(E55="",5,E55),0)))</f>
        <v/>
      </c>
      <c r="J96" s="75" t="str">
        <f aca="false">IF(I96="","",IF((IF(E63="",IF($D$34="",0,$D$34),E63))=0,0,MAX(0,3543389.1-(IF(E64&lt;&gt;"",E64,IF($D$36&lt;&gt;"",$D$36,IF((IF(E63="",IF($D$34="",0,$D$34),E63))=0,0,E53/(IF(E63="",IF($D$34="",0,$D$34),E63)))))))*(IF(E63="",IF($D$34="",0,$D$34),E63))))</f>
        <v/>
      </c>
      <c r="K96" s="75" t="str">
        <f aca="false">IF(I96="","",I96+J96)</f>
        <v/>
      </c>
      <c r="L96" s="75" t="str">
        <f aca="false">IF(F53="","",IF(10&gt;IF(F56="",10,F56),"",F53*(1+IF(F54="",0,F54))^ROUNDDOWN((10-1)/IF(F55="",5,F55),0)))</f>
        <v/>
      </c>
      <c r="M96" s="75" t="str">
        <f aca="false">IF(L96="","",IF((IF(F63="",IF($D$34="",0,$D$34),F63))=0,0,MAX(0,3543389.1-(IF(F64&lt;&gt;"",F64,IF($D$36&lt;&gt;"",$D$36,IF((IF(F63="",IF($D$34="",0,$D$34),F63))=0,0,F53/(IF(F63="",IF($D$34="",0,$D$34),F63)))))))*(IF(F63="",IF($D$34="",0,$D$34),F63))))</f>
        <v/>
      </c>
      <c r="N96" s="75" t="str">
        <f aca="false">IF(L96="","",L96+M96)</f>
        <v/>
      </c>
      <c r="O96" s="75" t="str">
        <f aca="false">IF(G53="","",IF(10&gt;IF(G56="",10,G56),"",G53*(1+IF(G54="",0,G54))^ROUNDDOWN((10-1)/IF(G55="",5,G55),0)))</f>
        <v/>
      </c>
      <c r="P96" s="75" t="str">
        <f aca="false">IF(O96="","",IF((IF(G63="",IF($D$34="",0,$D$34),G63))=0,0,MAX(0,3543389.1-(IF(G64&lt;&gt;"",G64,IF($D$36&lt;&gt;"",$D$36,IF((IF(G63="",IF($D$34="",0,$D$34),G63))=0,0,G53/(IF(G63="",IF($D$34="",0,$D$34),G63)))))))*(IF(G63="",IF($D$34="",0,$D$34),G63))))</f>
        <v/>
      </c>
      <c r="Q96" s="75" t="str">
        <f aca="false">IF(O96="","",O96+P96)</f>
        <v/>
      </c>
      <c r="R96" s="75" t="str">
        <f aca="false">IF(H53="","",IF(10&gt;IF(H56="",10,H56),"",H53*(1+IF(H54="",0,H54))^ROUNDDOWN((10-1)/IF(H55="",5,H55),0)))</f>
        <v/>
      </c>
      <c r="S96" s="75" t="str">
        <f aca="false">IF(R96="","",IF((IF(H63="",IF($D$34="",0,$D$34),H63))=0,0,MAX(0,3543389.1-(IF(H64&lt;&gt;"",H64,IF($D$36&lt;&gt;"",$D$36,IF((IF(H63="",IF($D$34="",0,$D$34),H63))=0,0,H53/(IF(H63="",IF($D$34="",0,$D$34),H63)))))))*(IF(H63="",IF($D$34="",0,$D$34),H63))))</f>
        <v/>
      </c>
      <c r="T96" s="75" t="str">
        <f aca="false">IF(R96="","",R96+S96)</f>
        <v/>
      </c>
    </row>
    <row r="97" customFormat="false" ht="15" hidden="false" customHeight="false" outlineLevel="0" collapsed="false">
      <c r="A97" s="74" t="n">
        <v>11</v>
      </c>
      <c r="B97" s="75" t="n">
        <v>3614257</v>
      </c>
      <c r="C97" s="76" t="n">
        <v>156048</v>
      </c>
      <c r="D97" s="76" t="n">
        <v>0</v>
      </c>
      <c r="E97" s="76" t="n">
        <v>156048</v>
      </c>
      <c r="F97" s="75" t="n">
        <f aca="false">IF(D53="","",IF(11&gt;IF(D56="",10,D56),"",D53*(1+IF(D54="",0,D54))^ROUNDDOWN((11-1)/IF(D55="",5,D55),0)))</f>
        <v>162352.3392</v>
      </c>
      <c r="G97" s="75" t="n">
        <f aca="false">IF(F97="","",IF((IF(D63="",IF($D$34="",0,$D$34),D63))=0,0,MAX(0,3614256.88-(IF(D64&lt;&gt;"",D64,IF($D$36&lt;&gt;"",$D$36,IF((IF(D63="",IF($D$34="",0,$D$34),D63))=0,0,D53/(IF(D63="",IF($D$34="",0,$D$34),D63)))))))*(IF(D63="",IF($D$34="",0,$D$34),D63))))</f>
        <v>0</v>
      </c>
      <c r="H97" s="75" t="n">
        <f aca="false">IF(F97="","",F97+G97)</f>
        <v>162352.3392</v>
      </c>
      <c r="I97" s="75" t="str">
        <f aca="false">IF(E53="","",IF(11&gt;IF(E56="",10,E56),"",E53*(1+IF(E54="",0,E54))^ROUNDDOWN((11-1)/IF(E55="",5,E55),0)))</f>
        <v/>
      </c>
      <c r="J97" s="75" t="str">
        <f aca="false">IF(I97="","",IF((IF(E63="",IF($D$34="",0,$D$34),E63))=0,0,MAX(0,3614256.88-(IF(E64&lt;&gt;"",E64,IF($D$36&lt;&gt;"",$D$36,IF((IF(E63="",IF($D$34="",0,$D$34),E63))=0,0,E53/(IF(E63="",IF($D$34="",0,$D$34),E63)))))))*(IF(E63="",IF($D$34="",0,$D$34),E63))))</f>
        <v/>
      </c>
      <c r="K97" s="75" t="str">
        <f aca="false">IF(I97="","",I97+J97)</f>
        <v/>
      </c>
      <c r="L97" s="75" t="str">
        <f aca="false">IF(F53="","",IF(11&gt;IF(F56="",10,F56),"",F53*(1+IF(F54="",0,F54))^ROUNDDOWN((11-1)/IF(F55="",5,F55),0)))</f>
        <v/>
      </c>
      <c r="M97" s="75" t="str">
        <f aca="false">IF(L97="","",IF((IF(F63="",IF($D$34="",0,$D$34),F63))=0,0,MAX(0,3614256.88-(IF(F64&lt;&gt;"",F64,IF($D$36&lt;&gt;"",$D$36,IF((IF(F63="",IF($D$34="",0,$D$34),F63))=0,0,F53/(IF(F63="",IF($D$34="",0,$D$34),F63)))))))*(IF(F63="",IF($D$34="",0,$D$34),F63))))</f>
        <v/>
      </c>
      <c r="N97" s="75" t="str">
        <f aca="false">IF(L97="","",L97+M97)</f>
        <v/>
      </c>
      <c r="O97" s="75" t="str">
        <f aca="false">IF(G53="","",IF(11&gt;IF(G56="",10,G56),"",G53*(1+IF(G54="",0,G54))^ROUNDDOWN((11-1)/IF(G55="",5,G55),0)))</f>
        <v/>
      </c>
      <c r="P97" s="75" t="str">
        <f aca="false">IF(O97="","",IF((IF(G63="",IF($D$34="",0,$D$34),G63))=0,0,MAX(0,3614256.88-(IF(G64&lt;&gt;"",G64,IF($D$36&lt;&gt;"",$D$36,IF((IF(G63="",IF($D$34="",0,$D$34),G63))=0,0,G53/(IF(G63="",IF($D$34="",0,$D$34),G63)))))))*(IF(G63="",IF($D$34="",0,$D$34),G63))))</f>
        <v/>
      </c>
      <c r="Q97" s="75" t="str">
        <f aca="false">IF(O97="","",O97+P97)</f>
        <v/>
      </c>
      <c r="R97" s="75" t="str">
        <f aca="false">IF(H53="","",IF(11&gt;IF(H56="",10,H56),"",H53*(1+IF(H54="",0,H54))^ROUNDDOWN((11-1)/IF(H55="",5,H55),0)))</f>
        <v/>
      </c>
      <c r="S97" s="75" t="str">
        <f aca="false">IF(R97="","",IF((IF(H63="",IF($D$34="",0,$D$34),H63))=0,0,MAX(0,3614256.88-(IF(H64&lt;&gt;"",H64,IF($D$36&lt;&gt;"",$D$36,IF((IF(H63="",IF($D$34="",0,$D$34),H63))=0,0,H53/(IF(H63="",IF($D$34="",0,$D$34),H63)))))))*(IF(H63="",IF($D$34="",0,$D$34),H63))))</f>
        <v/>
      </c>
      <c r="T97" s="75" t="str">
        <f aca="false">IF(R97="","",R97+S97)</f>
        <v/>
      </c>
    </row>
    <row r="98" customFormat="false" ht="15" hidden="false" customHeight="false" outlineLevel="0" collapsed="false">
      <c r="A98" s="74" t="n">
        <v>12</v>
      </c>
      <c r="B98" s="75" t="n">
        <v>3686542</v>
      </c>
      <c r="C98" s="76" t="n">
        <v>156048</v>
      </c>
      <c r="D98" s="76" t="n">
        <v>0</v>
      </c>
      <c r="E98" s="76" t="n">
        <v>156048</v>
      </c>
      <c r="F98" s="75" t="n">
        <f aca="false">IF(D53="","",IF(12&gt;IF(D56="",10,D56),"",D53*(1+IF(D54="",0,D54))^ROUNDDOWN((12-1)/IF(D55="",5,D55),0)))</f>
        <v>162352.3392</v>
      </c>
      <c r="G98" s="75" t="n">
        <f aca="false">IF(F98="","",IF((IF(D63="",IF($D$34="",0,$D$34),D63))=0,0,MAX(0,3686542.02-(IF(D64&lt;&gt;"",D64,IF($D$36&lt;&gt;"",$D$36,IF((IF(D63="",IF($D$34="",0,$D$34),D63))=0,0,D53/(IF(D63="",IF($D$34="",0,$D$34),D63)))))))*(IF(D63="",IF($D$34="",0,$D$34),D63))))</f>
        <v>0</v>
      </c>
      <c r="H98" s="75" t="n">
        <f aca="false">IF(F98="","",F98+G98)</f>
        <v>162352.3392</v>
      </c>
      <c r="I98" s="75" t="str">
        <f aca="false">IF(E53="","",IF(12&gt;IF(E56="",10,E56),"",E53*(1+IF(E54="",0,E54))^ROUNDDOWN((12-1)/IF(E55="",5,E55),0)))</f>
        <v/>
      </c>
      <c r="J98" s="75" t="str">
        <f aca="false">IF(I98="","",IF((IF(E63="",IF($D$34="",0,$D$34),E63))=0,0,MAX(0,3686542.02-(IF(E64&lt;&gt;"",E64,IF($D$36&lt;&gt;"",$D$36,IF((IF(E63="",IF($D$34="",0,$D$34),E63))=0,0,E53/(IF(E63="",IF($D$34="",0,$D$34),E63)))))))*(IF(E63="",IF($D$34="",0,$D$34),E63))))</f>
        <v/>
      </c>
      <c r="K98" s="75" t="str">
        <f aca="false">IF(I98="","",I98+J98)</f>
        <v/>
      </c>
      <c r="L98" s="75" t="str">
        <f aca="false">IF(F53="","",IF(12&gt;IF(F56="",10,F56),"",F53*(1+IF(F54="",0,F54))^ROUNDDOWN((12-1)/IF(F55="",5,F55),0)))</f>
        <v/>
      </c>
      <c r="M98" s="75" t="str">
        <f aca="false">IF(L98="","",IF((IF(F63="",IF($D$34="",0,$D$34),F63))=0,0,MAX(0,3686542.02-(IF(F64&lt;&gt;"",F64,IF($D$36&lt;&gt;"",$D$36,IF((IF(F63="",IF($D$34="",0,$D$34),F63))=0,0,F53/(IF(F63="",IF($D$34="",0,$D$34),F63)))))))*(IF(F63="",IF($D$34="",0,$D$34),F63))))</f>
        <v/>
      </c>
      <c r="N98" s="75" t="str">
        <f aca="false">IF(L98="","",L98+M98)</f>
        <v/>
      </c>
      <c r="O98" s="75" t="str">
        <f aca="false">IF(G53="","",IF(12&gt;IF(G56="",10,G56),"",G53*(1+IF(G54="",0,G54))^ROUNDDOWN((12-1)/IF(G55="",5,G55),0)))</f>
        <v/>
      </c>
      <c r="P98" s="75" t="str">
        <f aca="false">IF(O98="","",IF((IF(G63="",IF($D$34="",0,$D$34),G63))=0,0,MAX(0,3686542.02-(IF(G64&lt;&gt;"",G64,IF($D$36&lt;&gt;"",$D$36,IF((IF(G63="",IF($D$34="",0,$D$34),G63))=0,0,G53/(IF(G63="",IF($D$34="",0,$D$34),G63)))))))*(IF(G63="",IF($D$34="",0,$D$34),G63))))</f>
        <v/>
      </c>
      <c r="Q98" s="75" t="str">
        <f aca="false">IF(O98="","",O98+P98)</f>
        <v/>
      </c>
      <c r="R98" s="75" t="str">
        <f aca="false">IF(H53="","",IF(12&gt;IF(H56="",10,H56),"",H53*(1+IF(H54="",0,H54))^ROUNDDOWN((12-1)/IF(H55="",5,H55),0)))</f>
        <v/>
      </c>
      <c r="S98" s="75" t="str">
        <f aca="false">IF(R98="","",IF((IF(H63="",IF($D$34="",0,$D$34),H63))=0,0,MAX(0,3686542.02-(IF(H64&lt;&gt;"",H64,IF($D$36&lt;&gt;"",$D$36,IF((IF(H63="",IF($D$34="",0,$D$34),H63))=0,0,H53/(IF(H63="",IF($D$34="",0,$D$34),H63)))))))*(IF(H63="",IF($D$34="",0,$D$34),H63))))</f>
        <v/>
      </c>
      <c r="T98" s="75" t="str">
        <f aca="false">IF(R98="","",R98+S98)</f>
        <v/>
      </c>
    </row>
    <row r="99" customFormat="false" ht="15" hidden="false" customHeight="false" outlineLevel="0" collapsed="false">
      <c r="A99" s="74" t="n">
        <v>13</v>
      </c>
      <c r="B99" s="75" t="n">
        <v>3760273</v>
      </c>
      <c r="C99" s="76" t="n">
        <v>156048</v>
      </c>
      <c r="D99" s="76" t="n">
        <v>0</v>
      </c>
      <c r="E99" s="76" t="n">
        <v>156048</v>
      </c>
      <c r="F99" s="75" t="n">
        <f aca="false">IF(D53="","",IF(13&gt;IF(D56="",10,D56),"",D53*(1+IF(D54="",0,D54))^ROUNDDOWN((13-1)/IF(D55="",5,D55),0)))</f>
        <v>162352.3392</v>
      </c>
      <c r="G99" s="75" t="n">
        <f aca="false">IF(F99="","",IF((IF(D63="",IF($D$34="",0,$D$34),D63))=0,0,MAX(0,3760272.86-(IF(D64&lt;&gt;"",D64,IF($D$36&lt;&gt;"",$D$36,IF((IF(D63="",IF($D$34="",0,$D$34),D63))=0,0,D53/(IF(D63="",IF($D$34="",0,$D$34),D63)))))))*(IF(D63="",IF($D$34="",0,$D$34),D63))))</f>
        <v>0</v>
      </c>
      <c r="H99" s="75" t="n">
        <f aca="false">IF(F99="","",F99+G99)</f>
        <v>162352.3392</v>
      </c>
      <c r="I99" s="75" t="str">
        <f aca="false">IF(E53="","",IF(13&gt;IF(E56="",10,E56),"",E53*(1+IF(E54="",0,E54))^ROUNDDOWN((13-1)/IF(E55="",5,E55),0)))</f>
        <v/>
      </c>
      <c r="J99" s="75" t="str">
        <f aca="false">IF(I99="","",IF((IF(E63="",IF($D$34="",0,$D$34),E63))=0,0,MAX(0,3760272.86-(IF(E64&lt;&gt;"",E64,IF($D$36&lt;&gt;"",$D$36,IF((IF(E63="",IF($D$34="",0,$D$34),E63))=0,0,E53/(IF(E63="",IF($D$34="",0,$D$34),E63)))))))*(IF(E63="",IF($D$34="",0,$D$34),E63))))</f>
        <v/>
      </c>
      <c r="K99" s="75" t="str">
        <f aca="false">IF(I99="","",I99+J99)</f>
        <v/>
      </c>
      <c r="L99" s="75" t="str">
        <f aca="false">IF(F53="","",IF(13&gt;IF(F56="",10,F56),"",F53*(1+IF(F54="",0,F54))^ROUNDDOWN((13-1)/IF(F55="",5,F55),0)))</f>
        <v/>
      </c>
      <c r="M99" s="75" t="str">
        <f aca="false">IF(L99="","",IF((IF(F63="",IF($D$34="",0,$D$34),F63))=0,0,MAX(0,3760272.86-(IF(F64&lt;&gt;"",F64,IF($D$36&lt;&gt;"",$D$36,IF((IF(F63="",IF($D$34="",0,$D$34),F63))=0,0,F53/(IF(F63="",IF($D$34="",0,$D$34),F63)))))))*(IF(F63="",IF($D$34="",0,$D$34),F63))))</f>
        <v/>
      </c>
      <c r="N99" s="75" t="str">
        <f aca="false">IF(L99="","",L99+M99)</f>
        <v/>
      </c>
      <c r="O99" s="75" t="str">
        <f aca="false">IF(G53="","",IF(13&gt;IF(G56="",10,G56),"",G53*(1+IF(G54="",0,G54))^ROUNDDOWN((13-1)/IF(G55="",5,G55),0)))</f>
        <v/>
      </c>
      <c r="P99" s="75" t="str">
        <f aca="false">IF(O99="","",IF((IF(G63="",IF($D$34="",0,$D$34),G63))=0,0,MAX(0,3760272.86-(IF(G64&lt;&gt;"",G64,IF($D$36&lt;&gt;"",$D$36,IF((IF(G63="",IF($D$34="",0,$D$34),G63))=0,0,G53/(IF(G63="",IF($D$34="",0,$D$34),G63)))))))*(IF(G63="",IF($D$34="",0,$D$34),G63))))</f>
        <v/>
      </c>
      <c r="Q99" s="75" t="str">
        <f aca="false">IF(O99="","",O99+P99)</f>
        <v/>
      </c>
      <c r="R99" s="75" t="str">
        <f aca="false">IF(H53="","",IF(13&gt;IF(H56="",10,H56),"",H53*(1+IF(H54="",0,H54))^ROUNDDOWN((13-1)/IF(H55="",5,H55),0)))</f>
        <v/>
      </c>
      <c r="S99" s="75" t="str">
        <f aca="false">IF(R99="","",IF((IF(H63="",IF($D$34="",0,$D$34),H63))=0,0,MAX(0,3760272.86-(IF(H64&lt;&gt;"",H64,IF($D$36&lt;&gt;"",$D$36,IF((IF(H63="",IF($D$34="",0,$D$34),H63))=0,0,H53/(IF(H63="",IF($D$34="",0,$D$34),H63)))))))*(IF(H63="",IF($D$34="",0,$D$34),H63))))</f>
        <v/>
      </c>
      <c r="T99" s="75" t="str">
        <f aca="false">IF(R99="","",R99+S99)</f>
        <v/>
      </c>
    </row>
    <row r="100" customFormat="false" ht="15" hidden="false" customHeight="false" outlineLevel="0" collapsed="false">
      <c r="A100" s="74" t="n">
        <v>14</v>
      </c>
      <c r="B100" s="75" t="n">
        <v>3835478</v>
      </c>
      <c r="C100" s="76" t="n">
        <v>156048</v>
      </c>
      <c r="D100" s="76" t="n">
        <v>0</v>
      </c>
      <c r="E100" s="76" t="n">
        <v>156048</v>
      </c>
      <c r="F100" s="75" t="n">
        <f aca="false">IF(D53="","",IF(14&gt;IF(D56="",10,D56),"",D53*(1+IF(D54="",0,D54))^ROUNDDOWN((14-1)/IF(D55="",5,D55),0)))</f>
        <v>162352.3392</v>
      </c>
      <c r="G100" s="75" t="n">
        <f aca="false">IF(F100="","",IF((IF(D63="",IF($D$34="",0,$D$34),D63))=0,0,MAX(0,3835478.32-(IF(D64&lt;&gt;"",D64,IF($D$36&lt;&gt;"",$D$36,IF((IF(D63="",IF($D$34="",0,$D$34),D63))=0,0,D53/(IF(D63="",IF($D$34="",0,$D$34),D63)))))))*(IF(D63="",IF($D$34="",0,$D$34),D63))))</f>
        <v>0</v>
      </c>
      <c r="H100" s="75" t="n">
        <f aca="false">IF(F100="","",F100+G100)</f>
        <v>162352.3392</v>
      </c>
      <c r="I100" s="75" t="str">
        <f aca="false">IF(E53="","",IF(14&gt;IF(E56="",10,E56),"",E53*(1+IF(E54="",0,E54))^ROUNDDOWN((14-1)/IF(E55="",5,E55),0)))</f>
        <v/>
      </c>
      <c r="J100" s="75" t="str">
        <f aca="false">IF(I100="","",IF((IF(E63="",IF($D$34="",0,$D$34),E63))=0,0,MAX(0,3835478.32-(IF(E64&lt;&gt;"",E64,IF($D$36&lt;&gt;"",$D$36,IF((IF(E63="",IF($D$34="",0,$D$34),E63))=0,0,E53/(IF(E63="",IF($D$34="",0,$D$34),E63)))))))*(IF(E63="",IF($D$34="",0,$D$34),E63))))</f>
        <v/>
      </c>
      <c r="K100" s="75" t="str">
        <f aca="false">IF(I100="","",I100+J100)</f>
        <v/>
      </c>
      <c r="L100" s="75" t="str">
        <f aca="false">IF(F53="","",IF(14&gt;IF(F56="",10,F56),"",F53*(1+IF(F54="",0,F54))^ROUNDDOWN((14-1)/IF(F55="",5,F55),0)))</f>
        <v/>
      </c>
      <c r="M100" s="75" t="str">
        <f aca="false">IF(L100="","",IF((IF(F63="",IF($D$34="",0,$D$34),F63))=0,0,MAX(0,3835478.32-(IF(F64&lt;&gt;"",F64,IF($D$36&lt;&gt;"",$D$36,IF((IF(F63="",IF($D$34="",0,$D$34),F63))=0,0,F53/(IF(F63="",IF($D$34="",0,$D$34),F63)))))))*(IF(F63="",IF($D$34="",0,$D$34),F63))))</f>
        <v/>
      </c>
      <c r="N100" s="75" t="str">
        <f aca="false">IF(L100="","",L100+M100)</f>
        <v/>
      </c>
      <c r="O100" s="75" t="str">
        <f aca="false">IF(G53="","",IF(14&gt;IF(G56="",10,G56),"",G53*(1+IF(G54="",0,G54))^ROUNDDOWN((14-1)/IF(G55="",5,G55),0)))</f>
        <v/>
      </c>
      <c r="P100" s="75" t="str">
        <f aca="false">IF(O100="","",IF((IF(G63="",IF($D$34="",0,$D$34),G63))=0,0,MAX(0,3835478.32-(IF(G64&lt;&gt;"",G64,IF($D$36&lt;&gt;"",$D$36,IF((IF(G63="",IF($D$34="",0,$D$34),G63))=0,0,G53/(IF(G63="",IF($D$34="",0,$D$34),G63)))))))*(IF(G63="",IF($D$34="",0,$D$34),G63))))</f>
        <v/>
      </c>
      <c r="Q100" s="75" t="str">
        <f aca="false">IF(O100="","",O100+P100)</f>
        <v/>
      </c>
      <c r="R100" s="75" t="str">
        <f aca="false">IF(H53="","",IF(14&gt;IF(H56="",10,H56),"",H53*(1+IF(H54="",0,H54))^ROUNDDOWN((14-1)/IF(H55="",5,H55),0)))</f>
        <v/>
      </c>
      <c r="S100" s="75" t="str">
        <f aca="false">IF(R100="","",IF((IF(H63="",IF($D$34="",0,$D$34),H63))=0,0,MAX(0,3835478.32-(IF(H64&lt;&gt;"",H64,IF($D$36&lt;&gt;"",$D$36,IF((IF(H63="",IF($D$34="",0,$D$34),H63))=0,0,H53/(IF(H63="",IF($D$34="",0,$D$34),H63)))))))*(IF(H63="",IF($D$34="",0,$D$34),H63))))</f>
        <v/>
      </c>
      <c r="T100" s="75" t="str">
        <f aca="false">IF(R100="","",R100+S100)</f>
        <v/>
      </c>
    </row>
    <row r="101" customFormat="false" ht="15" hidden="false" customHeight="false" outlineLevel="0" collapsed="false">
      <c r="A101" s="74" t="n">
        <v>15</v>
      </c>
      <c r="B101" s="75" t="n">
        <v>3912188</v>
      </c>
      <c r="C101" s="76" t="n">
        <v>156048</v>
      </c>
      <c r="D101" s="76" t="n">
        <v>0</v>
      </c>
      <c r="E101" s="76" t="n">
        <v>156048</v>
      </c>
      <c r="F101" s="75" t="n">
        <f aca="false">IF(D53="","",IF(15&gt;IF(D56="",10,D56),"",D53*(1+IF(D54="",0,D54))^ROUNDDOWN((15-1)/IF(D55="",5,D55),0)))</f>
        <v>162352.3392</v>
      </c>
      <c r="G101" s="75" t="n">
        <f aca="false">IF(F101="","",IF((IF(D63="",IF($D$34="",0,$D$34),D63))=0,0,MAX(0,3912187.89-(IF(D64&lt;&gt;"",D64,IF($D$36&lt;&gt;"",$D$36,IF((IF(D63="",IF($D$34="",0,$D$34),D63))=0,0,D53/(IF(D63="",IF($D$34="",0,$D$34),D63)))))))*(IF(D63="",IF($D$34="",0,$D$34),D63))))</f>
        <v>0</v>
      </c>
      <c r="H101" s="75" t="n">
        <f aca="false">IF(F101="","",F101+G101)</f>
        <v>162352.3392</v>
      </c>
      <c r="I101" s="75" t="str">
        <f aca="false">IF(E53="","",IF(15&gt;IF(E56="",10,E56),"",E53*(1+IF(E54="",0,E54))^ROUNDDOWN((15-1)/IF(E55="",5,E55),0)))</f>
        <v/>
      </c>
      <c r="J101" s="75" t="str">
        <f aca="false">IF(I101="","",IF((IF(E63="",IF($D$34="",0,$D$34),E63))=0,0,MAX(0,3912187.89-(IF(E64&lt;&gt;"",E64,IF($D$36&lt;&gt;"",$D$36,IF((IF(E63="",IF($D$34="",0,$D$34),E63))=0,0,E53/(IF(E63="",IF($D$34="",0,$D$34),E63)))))))*(IF(E63="",IF($D$34="",0,$D$34),E63))))</f>
        <v/>
      </c>
      <c r="K101" s="75" t="str">
        <f aca="false">IF(I101="","",I101+J101)</f>
        <v/>
      </c>
      <c r="L101" s="75" t="str">
        <f aca="false">IF(F53="","",IF(15&gt;IF(F56="",10,F56),"",F53*(1+IF(F54="",0,F54))^ROUNDDOWN((15-1)/IF(F55="",5,F55),0)))</f>
        <v/>
      </c>
      <c r="M101" s="75" t="str">
        <f aca="false">IF(L101="","",IF((IF(F63="",IF($D$34="",0,$D$34),F63))=0,0,MAX(0,3912187.89-(IF(F64&lt;&gt;"",F64,IF($D$36&lt;&gt;"",$D$36,IF((IF(F63="",IF($D$34="",0,$D$34),F63))=0,0,F53/(IF(F63="",IF($D$34="",0,$D$34),F63)))))))*(IF(F63="",IF($D$34="",0,$D$34),F63))))</f>
        <v/>
      </c>
      <c r="N101" s="75" t="str">
        <f aca="false">IF(L101="","",L101+M101)</f>
        <v/>
      </c>
      <c r="O101" s="75" t="str">
        <f aca="false">IF(G53="","",IF(15&gt;IF(G56="",10,G56),"",G53*(1+IF(G54="",0,G54))^ROUNDDOWN((15-1)/IF(G55="",5,G55),0)))</f>
        <v/>
      </c>
      <c r="P101" s="75" t="str">
        <f aca="false">IF(O101="","",IF((IF(G63="",IF($D$34="",0,$D$34),G63))=0,0,MAX(0,3912187.89-(IF(G64&lt;&gt;"",G64,IF($D$36&lt;&gt;"",$D$36,IF((IF(G63="",IF($D$34="",0,$D$34),G63))=0,0,G53/(IF(G63="",IF($D$34="",0,$D$34),G63)))))))*(IF(G63="",IF($D$34="",0,$D$34),G63))))</f>
        <v/>
      </c>
      <c r="Q101" s="75" t="str">
        <f aca="false">IF(O101="","",O101+P101)</f>
        <v/>
      </c>
      <c r="R101" s="75" t="str">
        <f aca="false">IF(H53="","",IF(15&gt;IF(H56="",10,H56),"",H53*(1+IF(H54="",0,H54))^ROUNDDOWN((15-1)/IF(H55="",5,H55),0)))</f>
        <v/>
      </c>
      <c r="S101" s="75" t="str">
        <f aca="false">IF(R101="","",IF((IF(H63="",IF($D$34="",0,$D$34),H63))=0,0,MAX(0,3912187.89-(IF(H64&lt;&gt;"",H64,IF($D$36&lt;&gt;"",$D$36,IF((IF(H63="",IF($D$34="",0,$D$34),H63))=0,0,H53/(IF(H63="",IF($D$34="",0,$D$34),H63)))))))*(IF(H63="",IF($D$34="",0,$D$34),H63))))</f>
        <v/>
      </c>
      <c r="T101" s="75" t="str">
        <f aca="false">IF(R101="","",R101+S101)</f>
        <v/>
      </c>
    </row>
    <row r="102" customFormat="false" ht="15" hidden="false" customHeight="false" outlineLevel="0" collapsed="false">
      <c r="A102" s="74" t="n">
        <v>16</v>
      </c>
      <c r="B102" s="75" t="n">
        <v>3990432</v>
      </c>
      <c r="C102" s="76" t="n">
        <v>156048</v>
      </c>
      <c r="D102" s="76" t="n">
        <v>0</v>
      </c>
      <c r="E102" s="76" t="n">
        <v>156048</v>
      </c>
      <c r="F102" s="75" t="n">
        <f aca="false">IF(D53="","",IF(16&gt;IF(D56="",10,D56),"",D53*(1+IF(D54="",0,D54))^ROUNDDOWN((16-1)/IF(D55="",5,D55),0)))</f>
        <v>165599.385984</v>
      </c>
      <c r="G102" s="75" t="n">
        <f aca="false">IF(F102="","",IF((IF(D63="",IF($D$34="",0,$D$34),D63))=0,0,MAX(0,3990431.64-(IF(D64&lt;&gt;"",D64,IF($D$36&lt;&gt;"",$D$36,IF((IF(D63="",IF($D$34="",0,$D$34),D63))=0,0,D53/(IF(D63="",IF($D$34="",0,$D$34),D63)))))))*(IF(D63="",IF($D$34="",0,$D$34),D63))))</f>
        <v>0</v>
      </c>
      <c r="H102" s="75" t="n">
        <f aca="false">IF(F102="","",F102+G102)</f>
        <v>165599.385984</v>
      </c>
      <c r="I102" s="75" t="str">
        <f aca="false">IF(E53="","",IF(16&gt;IF(E56="",10,E56),"",E53*(1+IF(E54="",0,E54))^ROUNDDOWN((16-1)/IF(E55="",5,E55),0)))</f>
        <v/>
      </c>
      <c r="J102" s="75" t="str">
        <f aca="false">IF(I102="","",IF((IF(E63="",IF($D$34="",0,$D$34),E63))=0,0,MAX(0,3990431.64-(IF(E64&lt;&gt;"",E64,IF($D$36&lt;&gt;"",$D$36,IF((IF(E63="",IF($D$34="",0,$D$34),E63))=0,0,E53/(IF(E63="",IF($D$34="",0,$D$34),E63)))))))*(IF(E63="",IF($D$34="",0,$D$34),E63))))</f>
        <v/>
      </c>
      <c r="K102" s="75" t="str">
        <f aca="false">IF(I102="","",I102+J102)</f>
        <v/>
      </c>
      <c r="L102" s="75" t="str">
        <f aca="false">IF(F53="","",IF(16&gt;IF(F56="",10,F56),"",F53*(1+IF(F54="",0,F54))^ROUNDDOWN((16-1)/IF(F55="",5,F55),0)))</f>
        <v/>
      </c>
      <c r="M102" s="75" t="str">
        <f aca="false">IF(L102="","",IF((IF(F63="",IF($D$34="",0,$D$34),F63))=0,0,MAX(0,3990431.64-(IF(F64&lt;&gt;"",F64,IF($D$36&lt;&gt;"",$D$36,IF((IF(F63="",IF($D$34="",0,$D$34),F63))=0,0,F53/(IF(F63="",IF($D$34="",0,$D$34),F63)))))))*(IF(F63="",IF($D$34="",0,$D$34),F63))))</f>
        <v/>
      </c>
      <c r="N102" s="75" t="str">
        <f aca="false">IF(L102="","",L102+M102)</f>
        <v/>
      </c>
      <c r="O102" s="75" t="str">
        <f aca="false">IF(G53="","",IF(16&gt;IF(G56="",10,G56),"",G53*(1+IF(G54="",0,G54))^ROUNDDOWN((16-1)/IF(G55="",5,G55),0)))</f>
        <v/>
      </c>
      <c r="P102" s="75" t="str">
        <f aca="false">IF(O102="","",IF((IF(G63="",IF($D$34="",0,$D$34),G63))=0,0,MAX(0,3990431.64-(IF(G64&lt;&gt;"",G64,IF($D$36&lt;&gt;"",$D$36,IF((IF(G63="",IF($D$34="",0,$D$34),G63))=0,0,G53/(IF(G63="",IF($D$34="",0,$D$34),G63)))))))*(IF(G63="",IF($D$34="",0,$D$34),G63))))</f>
        <v/>
      </c>
      <c r="Q102" s="75" t="str">
        <f aca="false">IF(O102="","",O102+P102)</f>
        <v/>
      </c>
      <c r="R102" s="75" t="str">
        <f aca="false">IF(H53="","",IF(16&gt;IF(H56="",10,H56),"",H53*(1+IF(H54="",0,H54))^ROUNDDOWN((16-1)/IF(H55="",5,H55),0)))</f>
        <v/>
      </c>
      <c r="S102" s="75" t="str">
        <f aca="false">IF(R102="","",IF((IF(H63="",IF($D$34="",0,$D$34),H63))=0,0,MAX(0,3990431.64-(IF(H64&lt;&gt;"",H64,IF($D$36&lt;&gt;"",$D$36,IF((IF(H63="",IF($D$34="",0,$D$34),H63))=0,0,H53/(IF(H63="",IF($D$34="",0,$D$34),H63)))))))*(IF(H63="",IF($D$34="",0,$D$34),H63))))</f>
        <v/>
      </c>
      <c r="T102" s="75" t="str">
        <f aca="false">IF(R102="","",R102+S102)</f>
        <v/>
      </c>
    </row>
    <row r="103" customFormat="false" ht="15" hidden="false" customHeight="false" outlineLevel="0" collapsed="false">
      <c r="A103" s="74" t="n">
        <v>17</v>
      </c>
      <c r="B103" s="75" t="n">
        <v>4070240</v>
      </c>
      <c r="C103" s="76" t="n">
        <v>156048</v>
      </c>
      <c r="D103" s="76" t="n">
        <v>0</v>
      </c>
      <c r="E103" s="76" t="n">
        <v>156048</v>
      </c>
      <c r="F103" s="75" t="n">
        <f aca="false">IF(D53="","",IF(17&gt;IF(D56="",10,D56),"",D53*(1+IF(D54="",0,D54))^ROUNDDOWN((17-1)/IF(D55="",5,D55),0)))</f>
        <v>165599.385984</v>
      </c>
      <c r="G103" s="75" t="n">
        <f aca="false">IF(F103="","",IF((IF(D63="",IF($D$34="",0,$D$34),D63))=0,0,MAX(0,4070240.28-(IF(D64&lt;&gt;"",D64,IF($D$36&lt;&gt;"",$D$36,IF((IF(D63="",IF($D$34="",0,$D$34),D63))=0,0,D53/(IF(D63="",IF($D$34="",0,$D$34),D63)))))))*(IF(D63="",IF($D$34="",0,$D$34),D63))))</f>
        <v>0</v>
      </c>
      <c r="H103" s="75" t="n">
        <f aca="false">IF(F103="","",F103+G103)</f>
        <v>165599.385984</v>
      </c>
      <c r="I103" s="75" t="str">
        <f aca="false">IF(E53="","",IF(17&gt;IF(E56="",10,E56),"",E53*(1+IF(E54="",0,E54))^ROUNDDOWN((17-1)/IF(E55="",5,E55),0)))</f>
        <v/>
      </c>
      <c r="J103" s="75" t="str">
        <f aca="false">IF(I103="","",IF((IF(E63="",IF($D$34="",0,$D$34),E63))=0,0,MAX(0,4070240.28-(IF(E64&lt;&gt;"",E64,IF($D$36&lt;&gt;"",$D$36,IF((IF(E63="",IF($D$34="",0,$D$34),E63))=0,0,E53/(IF(E63="",IF($D$34="",0,$D$34),E63)))))))*(IF(E63="",IF($D$34="",0,$D$34),E63))))</f>
        <v/>
      </c>
      <c r="K103" s="75" t="str">
        <f aca="false">IF(I103="","",I103+J103)</f>
        <v/>
      </c>
      <c r="L103" s="75" t="str">
        <f aca="false">IF(F53="","",IF(17&gt;IF(F56="",10,F56),"",F53*(1+IF(F54="",0,F54))^ROUNDDOWN((17-1)/IF(F55="",5,F55),0)))</f>
        <v/>
      </c>
      <c r="M103" s="75" t="str">
        <f aca="false">IF(L103="","",IF((IF(F63="",IF($D$34="",0,$D$34),F63))=0,0,MAX(0,4070240.28-(IF(F64&lt;&gt;"",F64,IF($D$36&lt;&gt;"",$D$36,IF((IF(F63="",IF($D$34="",0,$D$34),F63))=0,0,F53/(IF(F63="",IF($D$34="",0,$D$34),F63)))))))*(IF(F63="",IF($D$34="",0,$D$34),F63))))</f>
        <v/>
      </c>
      <c r="N103" s="75" t="str">
        <f aca="false">IF(L103="","",L103+M103)</f>
        <v/>
      </c>
      <c r="O103" s="75" t="str">
        <f aca="false">IF(G53="","",IF(17&gt;IF(G56="",10,G56),"",G53*(1+IF(G54="",0,G54))^ROUNDDOWN((17-1)/IF(G55="",5,G55),0)))</f>
        <v/>
      </c>
      <c r="P103" s="75" t="str">
        <f aca="false">IF(O103="","",IF((IF(G63="",IF($D$34="",0,$D$34),G63))=0,0,MAX(0,4070240.28-(IF(G64&lt;&gt;"",G64,IF($D$36&lt;&gt;"",$D$36,IF((IF(G63="",IF($D$34="",0,$D$34),G63))=0,0,G53/(IF(G63="",IF($D$34="",0,$D$34),G63)))))))*(IF(G63="",IF($D$34="",0,$D$34),G63))))</f>
        <v/>
      </c>
      <c r="Q103" s="75" t="str">
        <f aca="false">IF(O103="","",O103+P103)</f>
        <v/>
      </c>
      <c r="R103" s="75" t="str">
        <f aca="false">IF(H53="","",IF(17&gt;IF(H56="",10,H56),"",H53*(1+IF(H54="",0,H54))^ROUNDDOWN((17-1)/IF(H55="",5,H55),0)))</f>
        <v/>
      </c>
      <c r="S103" s="75" t="str">
        <f aca="false">IF(R103="","",IF((IF(H63="",IF($D$34="",0,$D$34),H63))=0,0,MAX(0,4070240.28-(IF(H64&lt;&gt;"",H64,IF($D$36&lt;&gt;"",$D$36,IF((IF(H63="",IF($D$34="",0,$D$34),H63))=0,0,H53/(IF(H63="",IF($D$34="",0,$D$34),H63)))))))*(IF(H63="",IF($D$34="",0,$D$34),H63))))</f>
        <v/>
      </c>
      <c r="T103" s="75" t="str">
        <f aca="false">IF(R103="","",R103+S103)</f>
        <v/>
      </c>
    </row>
    <row r="104" customFormat="false" ht="15" hidden="false" customHeight="false" outlineLevel="0" collapsed="false">
      <c r="A104" s="74" t="n">
        <v>18</v>
      </c>
      <c r="B104" s="75" t="n">
        <v>4151645</v>
      </c>
      <c r="C104" s="76" t="n">
        <v>156048</v>
      </c>
      <c r="D104" s="76" t="n">
        <v>0</v>
      </c>
      <c r="E104" s="76" t="n">
        <v>156048</v>
      </c>
      <c r="F104" s="75" t="n">
        <f aca="false">IF(D53="","",IF(18&gt;IF(D56="",10,D56),"",D53*(1+IF(D54="",0,D54))^ROUNDDOWN((18-1)/IF(D55="",5,D55),0)))</f>
        <v>165599.385984</v>
      </c>
      <c r="G104" s="75" t="n">
        <f aca="false">IF(F104="","",IF((IF(D63="",IF($D$34="",0,$D$34),D63))=0,0,MAX(0,4151645.08-(IF(D64&lt;&gt;"",D64,IF($D$36&lt;&gt;"",$D$36,IF((IF(D63="",IF($D$34="",0,$D$34),D63))=0,0,D53/(IF(D63="",IF($D$34="",0,$D$34),D63)))))))*(IF(D63="",IF($D$34="",0,$D$34),D63))))</f>
        <v>0</v>
      </c>
      <c r="H104" s="75" t="n">
        <f aca="false">IF(F104="","",F104+G104)</f>
        <v>165599.385984</v>
      </c>
      <c r="I104" s="75" t="str">
        <f aca="false">IF(E53="","",IF(18&gt;IF(E56="",10,E56),"",E53*(1+IF(E54="",0,E54))^ROUNDDOWN((18-1)/IF(E55="",5,E55),0)))</f>
        <v/>
      </c>
      <c r="J104" s="75" t="str">
        <f aca="false">IF(I104="","",IF((IF(E63="",IF($D$34="",0,$D$34),E63))=0,0,MAX(0,4151645.08-(IF(E64&lt;&gt;"",E64,IF($D$36&lt;&gt;"",$D$36,IF((IF(E63="",IF($D$34="",0,$D$34),E63))=0,0,E53/(IF(E63="",IF($D$34="",0,$D$34),E63)))))))*(IF(E63="",IF($D$34="",0,$D$34),E63))))</f>
        <v/>
      </c>
      <c r="K104" s="75" t="str">
        <f aca="false">IF(I104="","",I104+J104)</f>
        <v/>
      </c>
      <c r="L104" s="75" t="str">
        <f aca="false">IF(F53="","",IF(18&gt;IF(F56="",10,F56),"",F53*(1+IF(F54="",0,F54))^ROUNDDOWN((18-1)/IF(F55="",5,F55),0)))</f>
        <v/>
      </c>
      <c r="M104" s="75" t="str">
        <f aca="false">IF(L104="","",IF((IF(F63="",IF($D$34="",0,$D$34),F63))=0,0,MAX(0,4151645.08-(IF(F64&lt;&gt;"",F64,IF($D$36&lt;&gt;"",$D$36,IF((IF(F63="",IF($D$34="",0,$D$34),F63))=0,0,F53/(IF(F63="",IF($D$34="",0,$D$34),F63)))))))*(IF(F63="",IF($D$34="",0,$D$34),F63))))</f>
        <v/>
      </c>
      <c r="N104" s="75" t="str">
        <f aca="false">IF(L104="","",L104+M104)</f>
        <v/>
      </c>
      <c r="O104" s="75" t="str">
        <f aca="false">IF(G53="","",IF(18&gt;IF(G56="",10,G56),"",G53*(1+IF(G54="",0,G54))^ROUNDDOWN((18-1)/IF(G55="",5,G55),0)))</f>
        <v/>
      </c>
      <c r="P104" s="75" t="str">
        <f aca="false">IF(O104="","",IF((IF(G63="",IF($D$34="",0,$D$34),G63))=0,0,MAX(0,4151645.08-(IF(G64&lt;&gt;"",G64,IF($D$36&lt;&gt;"",$D$36,IF((IF(G63="",IF($D$34="",0,$D$34),G63))=0,0,G53/(IF(G63="",IF($D$34="",0,$D$34),G63)))))))*(IF(G63="",IF($D$34="",0,$D$34),G63))))</f>
        <v/>
      </c>
      <c r="Q104" s="75" t="str">
        <f aca="false">IF(O104="","",O104+P104)</f>
        <v/>
      </c>
      <c r="R104" s="75" t="str">
        <f aca="false">IF(H53="","",IF(18&gt;IF(H56="",10,H56),"",H53*(1+IF(H54="",0,H54))^ROUNDDOWN((18-1)/IF(H55="",5,H55),0)))</f>
        <v/>
      </c>
      <c r="S104" s="75" t="str">
        <f aca="false">IF(R104="","",IF((IF(H63="",IF($D$34="",0,$D$34),H63))=0,0,MAX(0,4151645.08-(IF(H64&lt;&gt;"",H64,IF($D$36&lt;&gt;"",$D$36,IF((IF(H63="",IF($D$34="",0,$D$34),H63))=0,0,H53/(IF(H63="",IF($D$34="",0,$D$34),H63)))))))*(IF(H63="",IF($D$34="",0,$D$34),H63))))</f>
        <v/>
      </c>
      <c r="T104" s="75" t="str">
        <f aca="false">IF(R104="","",R104+S104)</f>
        <v/>
      </c>
    </row>
    <row r="105" customFormat="false" ht="15" hidden="false" customHeight="false" outlineLevel="0" collapsed="false">
      <c r="A105" s="74" t="n">
        <v>19</v>
      </c>
      <c r="B105" s="75" t="n">
        <v>4234678</v>
      </c>
      <c r="C105" s="76" t="n">
        <v>156048</v>
      </c>
      <c r="D105" s="76" t="n">
        <v>0</v>
      </c>
      <c r="E105" s="76" t="n">
        <v>156048</v>
      </c>
      <c r="F105" s="75" t="n">
        <f aca="false">IF(D53="","",IF(19&gt;IF(D56="",10,D56),"",D53*(1+IF(D54="",0,D54))^ROUNDDOWN((19-1)/IF(D55="",5,D55),0)))</f>
        <v>165599.385984</v>
      </c>
      <c r="G105" s="75" t="n">
        <f aca="false">IF(F105="","",IF((IF(D63="",IF($D$34="",0,$D$34),D63))=0,0,MAX(0,4234677.98-(IF(D64&lt;&gt;"",D64,IF($D$36&lt;&gt;"",$D$36,IF((IF(D63="",IF($D$34="",0,$D$34),D63))=0,0,D53/(IF(D63="",IF($D$34="",0,$D$34),D63)))))))*(IF(D63="",IF($D$34="",0,$D$34),D63))))</f>
        <v>0</v>
      </c>
      <c r="H105" s="75" t="n">
        <f aca="false">IF(F105="","",F105+G105)</f>
        <v>165599.385984</v>
      </c>
      <c r="I105" s="75" t="str">
        <f aca="false">IF(E53="","",IF(19&gt;IF(E56="",10,E56),"",E53*(1+IF(E54="",0,E54))^ROUNDDOWN((19-1)/IF(E55="",5,E55),0)))</f>
        <v/>
      </c>
      <c r="J105" s="75" t="str">
        <f aca="false">IF(I105="","",IF((IF(E63="",IF($D$34="",0,$D$34),E63))=0,0,MAX(0,4234677.98-(IF(E64&lt;&gt;"",E64,IF($D$36&lt;&gt;"",$D$36,IF((IF(E63="",IF($D$34="",0,$D$34),E63))=0,0,E53/(IF(E63="",IF($D$34="",0,$D$34),E63)))))))*(IF(E63="",IF($D$34="",0,$D$34),E63))))</f>
        <v/>
      </c>
      <c r="K105" s="75" t="str">
        <f aca="false">IF(I105="","",I105+J105)</f>
        <v/>
      </c>
      <c r="L105" s="75" t="str">
        <f aca="false">IF(F53="","",IF(19&gt;IF(F56="",10,F56),"",F53*(1+IF(F54="",0,F54))^ROUNDDOWN((19-1)/IF(F55="",5,F55),0)))</f>
        <v/>
      </c>
      <c r="M105" s="75" t="str">
        <f aca="false">IF(L105="","",IF((IF(F63="",IF($D$34="",0,$D$34),F63))=0,0,MAX(0,4234677.98-(IF(F64&lt;&gt;"",F64,IF($D$36&lt;&gt;"",$D$36,IF((IF(F63="",IF($D$34="",0,$D$34),F63))=0,0,F53/(IF(F63="",IF($D$34="",0,$D$34),F63)))))))*(IF(F63="",IF($D$34="",0,$D$34),F63))))</f>
        <v/>
      </c>
      <c r="N105" s="75" t="str">
        <f aca="false">IF(L105="","",L105+M105)</f>
        <v/>
      </c>
      <c r="O105" s="75" t="str">
        <f aca="false">IF(G53="","",IF(19&gt;IF(G56="",10,G56),"",G53*(1+IF(G54="",0,G54))^ROUNDDOWN((19-1)/IF(G55="",5,G55),0)))</f>
        <v/>
      </c>
      <c r="P105" s="75" t="str">
        <f aca="false">IF(O105="","",IF((IF(G63="",IF($D$34="",0,$D$34),G63))=0,0,MAX(0,4234677.98-(IF(G64&lt;&gt;"",G64,IF($D$36&lt;&gt;"",$D$36,IF((IF(G63="",IF($D$34="",0,$D$34),G63))=0,0,G53/(IF(G63="",IF($D$34="",0,$D$34),G63)))))))*(IF(G63="",IF($D$34="",0,$D$34),G63))))</f>
        <v/>
      </c>
      <c r="Q105" s="75" t="str">
        <f aca="false">IF(O105="","",O105+P105)</f>
        <v/>
      </c>
      <c r="R105" s="75" t="str">
        <f aca="false">IF(H53="","",IF(19&gt;IF(H56="",10,H56),"",H53*(1+IF(H54="",0,H54))^ROUNDDOWN((19-1)/IF(H55="",5,H55),0)))</f>
        <v/>
      </c>
      <c r="S105" s="75" t="str">
        <f aca="false">IF(R105="","",IF((IF(H63="",IF($D$34="",0,$D$34),H63))=0,0,MAX(0,4234677.98-(IF(H64&lt;&gt;"",H64,IF($D$36&lt;&gt;"",$D$36,IF((IF(H63="",IF($D$34="",0,$D$34),H63))=0,0,H53/(IF(H63="",IF($D$34="",0,$D$34),H63)))))))*(IF(H63="",IF($D$34="",0,$D$34),H63))))</f>
        <v/>
      </c>
      <c r="T105" s="75" t="str">
        <f aca="false">IF(R105="","",R105+S105)</f>
        <v/>
      </c>
    </row>
    <row r="106" customFormat="false" ht="15" hidden="false" customHeight="false" outlineLevel="0" collapsed="false">
      <c r="A106" s="74" t="n">
        <v>20</v>
      </c>
      <c r="B106" s="75" t="n">
        <v>4319372</v>
      </c>
      <c r="C106" s="76" t="n">
        <v>156048</v>
      </c>
      <c r="D106" s="76" t="n">
        <v>0</v>
      </c>
      <c r="E106" s="76" t="n">
        <v>156048</v>
      </c>
      <c r="F106" s="75" t="n">
        <f aca="false">IF(D53="","",IF(20&gt;IF(D56="",10,D56),"",D53*(1+IF(D54="",0,D54))^ROUNDDOWN((20-1)/IF(D55="",5,D55),0)))</f>
        <v>165599.385984</v>
      </c>
      <c r="G106" s="75" t="n">
        <f aca="false">IF(F106="","",IF((IF(D63="",IF($D$34="",0,$D$34),D63))=0,0,MAX(0,4319371.54-(IF(D64&lt;&gt;"",D64,IF($D$36&lt;&gt;"",$D$36,IF((IF(D63="",IF($D$34="",0,$D$34),D63))=0,0,D53/(IF(D63="",IF($D$34="",0,$D$34),D63)))))))*(IF(D63="",IF($D$34="",0,$D$34),D63))))</f>
        <v>0</v>
      </c>
      <c r="H106" s="75" t="n">
        <f aca="false">IF(F106="","",F106+G106)</f>
        <v>165599.385984</v>
      </c>
      <c r="I106" s="75" t="str">
        <f aca="false">IF(E53="","",IF(20&gt;IF(E56="",10,E56),"",E53*(1+IF(E54="",0,E54))^ROUNDDOWN((20-1)/IF(E55="",5,E55),0)))</f>
        <v/>
      </c>
      <c r="J106" s="75" t="str">
        <f aca="false">IF(I106="","",IF((IF(E63="",IF($D$34="",0,$D$34),E63))=0,0,MAX(0,4319371.54-(IF(E64&lt;&gt;"",E64,IF($D$36&lt;&gt;"",$D$36,IF((IF(E63="",IF($D$34="",0,$D$34),E63))=0,0,E53/(IF(E63="",IF($D$34="",0,$D$34),E63)))))))*(IF(E63="",IF($D$34="",0,$D$34),E63))))</f>
        <v/>
      </c>
      <c r="K106" s="75" t="str">
        <f aca="false">IF(I106="","",I106+J106)</f>
        <v/>
      </c>
      <c r="L106" s="75" t="str">
        <f aca="false">IF(F53="","",IF(20&gt;IF(F56="",10,F56),"",F53*(1+IF(F54="",0,F54))^ROUNDDOWN((20-1)/IF(F55="",5,F55),0)))</f>
        <v/>
      </c>
      <c r="M106" s="75" t="str">
        <f aca="false">IF(L106="","",IF((IF(F63="",IF($D$34="",0,$D$34),F63))=0,0,MAX(0,4319371.54-(IF(F64&lt;&gt;"",F64,IF($D$36&lt;&gt;"",$D$36,IF((IF(F63="",IF($D$34="",0,$D$34),F63))=0,0,F53/(IF(F63="",IF($D$34="",0,$D$34),F63)))))))*(IF(F63="",IF($D$34="",0,$D$34),F63))))</f>
        <v/>
      </c>
      <c r="N106" s="75" t="str">
        <f aca="false">IF(L106="","",L106+M106)</f>
        <v/>
      </c>
      <c r="O106" s="75" t="str">
        <f aca="false">IF(G53="","",IF(20&gt;IF(G56="",10,G56),"",G53*(1+IF(G54="",0,G54))^ROUNDDOWN((20-1)/IF(G55="",5,G55),0)))</f>
        <v/>
      </c>
      <c r="P106" s="75" t="str">
        <f aca="false">IF(O106="","",IF((IF(G63="",IF($D$34="",0,$D$34),G63))=0,0,MAX(0,4319371.54-(IF(G64&lt;&gt;"",G64,IF($D$36&lt;&gt;"",$D$36,IF((IF(G63="",IF($D$34="",0,$D$34),G63))=0,0,G53/(IF(G63="",IF($D$34="",0,$D$34),G63)))))))*(IF(G63="",IF($D$34="",0,$D$34),G63))))</f>
        <v/>
      </c>
      <c r="Q106" s="75" t="str">
        <f aca="false">IF(O106="","",O106+P106)</f>
        <v/>
      </c>
      <c r="R106" s="75" t="str">
        <f aca="false">IF(H53="","",IF(20&gt;IF(H56="",10,H56),"",H53*(1+IF(H54="",0,H54))^ROUNDDOWN((20-1)/IF(H55="",5,H55),0)))</f>
        <v/>
      </c>
      <c r="S106" s="75" t="str">
        <f aca="false">IF(R106="","",IF((IF(H63="",IF($D$34="",0,$D$34),H63))=0,0,MAX(0,4319371.54-(IF(H64&lt;&gt;"",H64,IF($D$36&lt;&gt;"",$D$36,IF((IF(H63="",IF($D$34="",0,$D$34),H63))=0,0,H53/(IF(H63="",IF($D$34="",0,$D$34),H63)))))))*(IF(H63="",IF($D$34="",0,$D$34),H63))))</f>
        <v/>
      </c>
      <c r="T106" s="75" t="str">
        <f aca="false">IF(R106="","",R106+S106)</f>
        <v/>
      </c>
    </row>
    <row r="107" customFormat="false" ht="15" hidden="false" customHeight="false" outlineLevel="0" collapsed="false">
      <c r="A107" s="77" t="s">
        <v>394</v>
      </c>
      <c r="C107" s="78" t="n">
        <f aca="false">IF(COUNT(C87:C106)=0,"",SUM(C87:C106))</f>
        <v>3120960</v>
      </c>
      <c r="D107" s="78" t="n">
        <f aca="false">IF(COUNT(D87:D106)=0,"",SUM(D87:D106))</f>
        <v>0</v>
      </c>
      <c r="E107" s="78" t="n">
        <f aca="false">IF(COUNT(E87:E106)=0,"",SUM(E87:E106))</f>
        <v>3120960</v>
      </c>
      <c r="F107" s="78" t="n">
        <f aca="false">IF(COUNT(F87:F106)=0,"",SUM(F87:F106))</f>
        <v>3215843.42592</v>
      </c>
      <c r="G107" s="78" t="n">
        <f aca="false">IF(COUNT(G87:G106)=0,"",SUM(G87:G106))</f>
        <v>0</v>
      </c>
      <c r="H107" s="78" t="n">
        <f aca="false">IF(COUNT(H87:H106)=0,"",SUM(H87:H106))</f>
        <v>3215843.42592</v>
      </c>
      <c r="I107" s="78" t="str">
        <f aca="false">IF(COUNT(I87:I106)=0,"",SUM(I87:I106))</f>
        <v/>
      </c>
      <c r="J107" s="78" t="str">
        <f aca="false">IF(COUNT(J87:J106)=0,"",SUM(J87:J106))</f>
        <v/>
      </c>
      <c r="K107" s="78" t="str">
        <f aca="false">IF(COUNT(K87:K106)=0,"",SUM(K87:K106))</f>
        <v/>
      </c>
      <c r="L107" s="78" t="str">
        <f aca="false">IF(COUNT(L87:L106)=0,"",SUM(L87:L106))</f>
        <v/>
      </c>
      <c r="M107" s="78" t="str">
        <f aca="false">IF(COUNT(M87:M106)=0,"",SUM(M87:M106))</f>
        <v/>
      </c>
      <c r="N107" s="78" t="str">
        <f aca="false">IF(COUNT(N87:N106)=0,"",SUM(N87:N106))</f>
        <v/>
      </c>
      <c r="O107" s="78" t="str">
        <f aca="false">IF(COUNT(O87:O106)=0,"",SUM(O87:O106))</f>
        <v/>
      </c>
      <c r="P107" s="78" t="str">
        <f aca="false">IF(COUNT(P87:P106)=0,"",SUM(P87:P106))</f>
        <v/>
      </c>
      <c r="Q107" s="78" t="str">
        <f aca="false">IF(COUNT(Q87:Q106)=0,"",SUM(Q87:Q106))</f>
        <v/>
      </c>
      <c r="R107" s="78" t="str">
        <f aca="false">IF(COUNT(R87:R106)=0,"",SUM(R87:R106))</f>
        <v/>
      </c>
      <c r="S107" s="78" t="str">
        <f aca="false">IF(COUNT(S87:S106)=0,"",SUM(S87:S106))</f>
        <v/>
      </c>
      <c r="T107" s="78" t="str">
        <f aca="false">IF(COUNT(T87:T106)=0,"",SUM(T87:T106))</f>
        <v/>
      </c>
    </row>
    <row r="108" customFormat="false" ht="15" hidden="false" customHeight="false" outlineLevel="0" collapsed="false">
      <c r="A108" s="69" t="s">
        <v>395</v>
      </c>
      <c r="B108" s="69"/>
      <c r="C108" s="69"/>
      <c r="D108" s="69"/>
      <c r="E108" s="69"/>
      <c r="F108" s="69"/>
      <c r="G108" s="69"/>
      <c r="H108" s="69"/>
      <c r="I108" s="69"/>
      <c r="J108" s="69"/>
      <c r="K108" s="69"/>
      <c r="L108" s="69"/>
      <c r="M108" s="69"/>
      <c r="N108" s="69"/>
      <c r="O108" s="69"/>
      <c r="P108" s="69"/>
      <c r="Q108" s="69"/>
      <c r="R108" s="69"/>
      <c r="S108" s="69"/>
      <c r="T108" s="69"/>
    </row>
  </sheetData>
  <mergeCells count="82">
    <mergeCell ref="A2:J2"/>
    <mergeCell ref="A3:J3"/>
    <mergeCell ref="A4:J4"/>
    <mergeCell ref="A5:J5"/>
    <mergeCell ref="A6:J6"/>
    <mergeCell ref="A7:J7"/>
    <mergeCell ref="A8:J8"/>
    <mergeCell ref="A10:C10"/>
    <mergeCell ref="D10:J10"/>
    <mergeCell ref="A11:C11"/>
    <mergeCell ref="D11:J11"/>
    <mergeCell ref="A12:C12"/>
    <mergeCell ref="D12:J12"/>
    <mergeCell ref="A13:C13"/>
    <mergeCell ref="D13:J13"/>
    <mergeCell ref="A14:C14"/>
    <mergeCell ref="D14:J14"/>
    <mergeCell ref="G17:J17"/>
    <mergeCell ref="G18:J18"/>
    <mergeCell ref="G19:J19"/>
    <mergeCell ref="A20:D20"/>
    <mergeCell ref="A21:J21"/>
    <mergeCell ref="A24:C24"/>
    <mergeCell ref="A25:C25"/>
    <mergeCell ref="E25:J25"/>
    <mergeCell ref="A26:C26"/>
    <mergeCell ref="E26:J26"/>
    <mergeCell ref="A27:C27"/>
    <mergeCell ref="A28:C28"/>
    <mergeCell ref="A29:C29"/>
    <mergeCell ref="E29:J29"/>
    <mergeCell ref="A30:J30"/>
    <mergeCell ref="A31:J31"/>
    <mergeCell ref="A34:C34"/>
    <mergeCell ref="E34:J34"/>
    <mergeCell ref="A35:C35"/>
    <mergeCell ref="E35:J35"/>
    <mergeCell ref="A36:C36"/>
    <mergeCell ref="E36:J36"/>
    <mergeCell ref="A37:C37"/>
    <mergeCell ref="E37:J37"/>
    <mergeCell ref="A38:C38"/>
    <mergeCell ref="A39:C39"/>
    <mergeCell ref="A40:C40"/>
    <mergeCell ref="A41:C41"/>
    <mergeCell ref="A48:G48"/>
    <mergeCell ref="A51:C51"/>
    <mergeCell ref="A52:C52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2:C62"/>
    <mergeCell ref="A63:C63"/>
    <mergeCell ref="A64:C64"/>
    <mergeCell ref="A65:C65"/>
    <mergeCell ref="A66:C66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8:J78"/>
    <mergeCell ref="A80:J80"/>
    <mergeCell ref="A84:T84"/>
    <mergeCell ref="C85:E85"/>
    <mergeCell ref="F85:H85"/>
    <mergeCell ref="I85:K85"/>
    <mergeCell ref="L85:N85"/>
    <mergeCell ref="O85:Q85"/>
    <mergeCell ref="R85:T85"/>
    <mergeCell ref="A108:T108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T10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6"/>
    <col collapsed="false" customWidth="true" hidden="false" outlineLevel="0" max="2" min="2" style="0" width="22"/>
    <col collapsed="false" customWidth="true" hidden="false" outlineLevel="0" max="3" min="3" style="0" width="11"/>
    <col collapsed="false" customWidth="true" hidden="false" outlineLevel="0" max="4" min="4" style="0" width="14"/>
    <col collapsed="false" customWidth="true" hidden="false" outlineLevel="0" max="6" min="5" style="0" width="12"/>
    <col collapsed="false" customWidth="true" hidden="false" outlineLevel="0" max="7" min="7" style="0" width="14"/>
    <col collapsed="false" customWidth="true" hidden="false" outlineLevel="0" max="9" min="8" style="0" width="13"/>
    <col collapsed="false" customWidth="true" hidden="false" outlineLevel="0" max="10" min="10" style="0" width="26"/>
  </cols>
  <sheetData>
    <row r="1" customFormat="false" ht="16.15" hidden="false" customHeight="false" outlineLevel="0" collapsed="false">
      <c r="A1" s="3" t="s">
        <v>530</v>
      </c>
    </row>
    <row r="2" customFormat="false" ht="25.5" hidden="false" customHeight="true" outlineLevel="0" collapsed="false">
      <c r="A2" s="12" t="s">
        <v>251</v>
      </c>
      <c r="B2" s="12"/>
      <c r="C2" s="12"/>
      <c r="D2" s="12"/>
      <c r="E2" s="12"/>
      <c r="F2" s="12"/>
      <c r="G2" s="12"/>
      <c r="H2" s="12"/>
      <c r="I2" s="12"/>
      <c r="J2" s="12"/>
    </row>
    <row r="3" customFormat="false" ht="15" hidden="false" customHeight="true" outlineLevel="0" collapsed="false">
      <c r="A3" s="16" t="s">
        <v>531</v>
      </c>
      <c r="B3" s="16"/>
      <c r="C3" s="16"/>
      <c r="D3" s="16"/>
      <c r="E3" s="16"/>
      <c r="F3" s="16"/>
      <c r="G3" s="16"/>
      <c r="H3" s="16"/>
      <c r="I3" s="16"/>
      <c r="J3" s="16"/>
    </row>
    <row r="4" customFormat="false" ht="30" hidden="false" customHeight="true" outlineLevel="0" collapsed="false">
      <c r="A4" s="17" t="s">
        <v>39</v>
      </c>
      <c r="B4" s="17"/>
      <c r="C4" s="17"/>
      <c r="D4" s="17"/>
      <c r="E4" s="17"/>
      <c r="F4" s="17"/>
      <c r="G4" s="17"/>
      <c r="H4" s="17"/>
      <c r="I4" s="17"/>
      <c r="J4" s="17"/>
    </row>
    <row r="5" customFormat="false" ht="15" hidden="false" customHeight="true" outlineLevel="0" collapsed="false">
      <c r="A5" s="18" t="s">
        <v>17</v>
      </c>
      <c r="B5" s="18"/>
      <c r="C5" s="18"/>
      <c r="D5" s="18"/>
      <c r="E5" s="18"/>
      <c r="F5" s="18"/>
      <c r="G5" s="18"/>
      <c r="H5" s="18"/>
      <c r="I5" s="18"/>
      <c r="J5" s="18"/>
    </row>
    <row r="6" customFormat="false" ht="15" hidden="false" customHeight="true" outlineLevel="0" collapsed="false">
      <c r="A6" s="19" t="s">
        <v>40</v>
      </c>
      <c r="B6" s="19"/>
      <c r="C6" s="19"/>
      <c r="D6" s="19"/>
      <c r="E6" s="19"/>
      <c r="F6" s="19"/>
      <c r="G6" s="19"/>
      <c r="H6" s="19"/>
      <c r="I6" s="19"/>
      <c r="J6" s="19"/>
    </row>
    <row r="7" customFormat="false" ht="23.85" hidden="false" customHeight="true" outlineLevel="0" collapsed="false">
      <c r="A7" s="20" t="s">
        <v>532</v>
      </c>
      <c r="B7" s="20"/>
      <c r="C7" s="20"/>
      <c r="D7" s="20"/>
      <c r="E7" s="20"/>
      <c r="F7" s="20"/>
      <c r="G7" s="20"/>
      <c r="H7" s="20"/>
      <c r="I7" s="20"/>
      <c r="J7" s="20"/>
    </row>
    <row r="8" customFormat="false" ht="15" hidden="false" customHeight="true" outlineLevel="0" collapsed="false">
      <c r="A8" s="21" t="s">
        <v>254</v>
      </c>
      <c r="B8" s="21"/>
      <c r="C8" s="21"/>
      <c r="D8" s="21"/>
      <c r="E8" s="21"/>
      <c r="F8" s="21"/>
      <c r="G8" s="21"/>
      <c r="H8" s="21"/>
      <c r="I8" s="21"/>
      <c r="J8" s="21"/>
    </row>
    <row r="10" customFormat="false" ht="15" hidden="false" customHeight="true" outlineLevel="0" collapsed="false">
      <c r="A10" s="22" t="s">
        <v>255</v>
      </c>
      <c r="B10" s="22"/>
      <c r="C10" s="22"/>
      <c r="D10" s="23" t="s">
        <v>533</v>
      </c>
      <c r="E10" s="23"/>
      <c r="F10" s="23"/>
      <c r="G10" s="23"/>
      <c r="H10" s="23"/>
      <c r="I10" s="23"/>
      <c r="J10" s="23"/>
    </row>
    <row r="11" customFormat="false" ht="15" hidden="false" customHeight="true" outlineLevel="0" collapsed="false">
      <c r="A11" s="22" t="s">
        <v>257</v>
      </c>
      <c r="B11" s="22"/>
      <c r="C11" s="22"/>
      <c r="D11" s="23" t="s">
        <v>534</v>
      </c>
      <c r="E11" s="23"/>
      <c r="F11" s="23"/>
      <c r="G11" s="23"/>
      <c r="H11" s="23"/>
      <c r="I11" s="23"/>
      <c r="J11" s="23"/>
    </row>
    <row r="12" customFormat="false" ht="15" hidden="false" customHeight="true" outlineLevel="0" collapsed="false">
      <c r="A12" s="22" t="s">
        <v>259</v>
      </c>
      <c r="B12" s="22"/>
      <c r="C12" s="22"/>
      <c r="D12" s="86"/>
      <c r="E12" s="86"/>
      <c r="F12" s="86"/>
      <c r="G12" s="86"/>
      <c r="H12" s="86"/>
      <c r="I12" s="86"/>
      <c r="J12" s="86"/>
    </row>
    <row r="13" customFormat="false" ht="15" hidden="false" customHeight="true" outlineLevel="0" collapsed="false">
      <c r="A13" s="22" t="s">
        <v>261</v>
      </c>
      <c r="B13" s="22"/>
      <c r="C13" s="22"/>
      <c r="D13" s="24" t="n">
        <v>2743420.46</v>
      </c>
      <c r="E13" s="24"/>
      <c r="F13" s="24"/>
      <c r="G13" s="24"/>
      <c r="H13" s="24"/>
      <c r="I13" s="24"/>
      <c r="J13" s="24"/>
    </row>
    <row r="14" customFormat="false" ht="23.85" hidden="false" customHeight="true" outlineLevel="0" collapsed="false">
      <c r="A14" s="22" t="s">
        <v>262</v>
      </c>
      <c r="B14" s="22"/>
      <c r="C14" s="22"/>
      <c r="D14" s="22" t="s">
        <v>535</v>
      </c>
      <c r="E14" s="22"/>
      <c r="F14" s="22"/>
      <c r="G14" s="22"/>
      <c r="H14" s="22"/>
      <c r="I14" s="22"/>
      <c r="J14" s="22"/>
    </row>
    <row r="16" customFormat="false" ht="15" hidden="false" customHeight="false" outlineLevel="0" collapsed="false">
      <c r="A16" s="25" t="s">
        <v>264</v>
      </c>
    </row>
    <row r="17" customFormat="false" ht="22.35" hidden="false" customHeight="true" outlineLevel="0" collapsed="false">
      <c r="A17" s="26" t="s">
        <v>265</v>
      </c>
      <c r="B17" s="26" t="s">
        <v>266</v>
      </c>
      <c r="C17" s="26" t="s">
        <v>267</v>
      </c>
      <c r="D17" s="26" t="s">
        <v>268</v>
      </c>
      <c r="E17" s="26" t="s">
        <v>269</v>
      </c>
      <c r="F17" s="26" t="s">
        <v>270</v>
      </c>
      <c r="G17" s="26" t="s">
        <v>271</v>
      </c>
      <c r="H17" s="26"/>
      <c r="I17" s="26"/>
      <c r="J17" s="26"/>
    </row>
    <row r="18" customFormat="false" ht="19.4" hidden="false" customHeight="true" outlineLevel="0" collapsed="false">
      <c r="A18" s="27" t="s">
        <v>536</v>
      </c>
      <c r="B18" s="28" t="s">
        <v>404</v>
      </c>
      <c r="C18" s="28" t="s">
        <v>537</v>
      </c>
      <c r="D18" s="29" t="n">
        <v>5677.46</v>
      </c>
      <c r="E18" s="30" t="n">
        <f aca="false">IF(D18="","",D18*12)</f>
        <v>68129.52</v>
      </c>
      <c r="F18" s="31" t="n">
        <v>0.2</v>
      </c>
      <c r="G18" s="32" t="s">
        <v>538</v>
      </c>
      <c r="H18" s="32"/>
      <c r="I18" s="32"/>
      <c r="J18" s="32"/>
    </row>
    <row r="19" customFormat="false" ht="15" hidden="false" customHeight="true" outlineLevel="0" collapsed="false">
      <c r="A19" s="27" t="s">
        <v>539</v>
      </c>
      <c r="B19" s="28" t="s">
        <v>540</v>
      </c>
      <c r="C19" s="28" t="s">
        <v>541</v>
      </c>
      <c r="D19" s="80" t="n">
        <v>6245.21</v>
      </c>
      <c r="E19" s="30" t="n">
        <f aca="false">IF(D19="","",D19*12)</f>
        <v>74942.52</v>
      </c>
      <c r="F19" s="31" t="n">
        <v>5</v>
      </c>
      <c r="G19" s="32" t="s">
        <v>542</v>
      </c>
      <c r="H19" s="32"/>
      <c r="I19" s="32"/>
      <c r="J19" s="32"/>
    </row>
    <row r="20" customFormat="false" ht="23.85" hidden="false" customHeight="true" outlineLevel="0" collapsed="false">
      <c r="A20" s="27" t="s">
        <v>543</v>
      </c>
      <c r="B20" s="28" t="s">
        <v>544</v>
      </c>
      <c r="C20" s="28" t="s">
        <v>545</v>
      </c>
      <c r="D20" s="80" t="n">
        <v>6869.73</v>
      </c>
      <c r="E20" s="30" t="n">
        <f aca="false">IF(D20="","",D20*12)</f>
        <v>82436.76</v>
      </c>
      <c r="F20" s="31" t="n">
        <v>4.8</v>
      </c>
      <c r="G20" s="32" t="s">
        <v>546</v>
      </c>
      <c r="H20" s="32"/>
      <c r="I20" s="32"/>
      <c r="J20" s="32"/>
    </row>
    <row r="21" customFormat="false" ht="15" hidden="false" customHeight="false" outlineLevel="0" collapsed="false">
      <c r="A21" s="34" t="s">
        <v>284</v>
      </c>
      <c r="B21" s="34"/>
      <c r="C21" s="34"/>
      <c r="D21" s="34"/>
      <c r="E21" s="35" t="n">
        <f aca="false">IF(SUMPRODUCT(E18:E20,F18:F20)=0,"",SUMPRODUCT(E18:E20,F18:F20))</f>
        <v>784034.952</v>
      </c>
      <c r="F21" s="36"/>
      <c r="G21" s="36"/>
      <c r="H21" s="36"/>
      <c r="I21" s="36"/>
      <c r="J21" s="36"/>
    </row>
    <row r="22" customFormat="false" ht="15" hidden="false" customHeight="false" outlineLevel="0" collapsed="false">
      <c r="A22" s="81" t="s">
        <v>483</v>
      </c>
      <c r="B22" s="81"/>
      <c r="C22" s="81"/>
      <c r="D22" s="81"/>
      <c r="E22" s="81"/>
      <c r="F22" s="81"/>
      <c r="G22" s="81"/>
      <c r="H22" s="81"/>
      <c r="I22" s="81"/>
      <c r="J22" s="81"/>
    </row>
    <row r="24" customFormat="false" ht="15" hidden="false" customHeight="false" outlineLevel="0" collapsed="false">
      <c r="A24" s="25" t="s">
        <v>286</v>
      </c>
    </row>
    <row r="25" customFormat="false" ht="15" hidden="false" customHeight="true" outlineLevel="0" collapsed="false">
      <c r="A25" s="22" t="s">
        <v>287</v>
      </c>
      <c r="B25" s="22"/>
      <c r="C25" s="22"/>
      <c r="D25" s="35" t="n">
        <v>68129.52</v>
      </c>
      <c r="E25" s="36"/>
      <c r="F25" s="36"/>
      <c r="G25" s="36"/>
      <c r="H25" s="36"/>
      <c r="I25" s="36"/>
      <c r="J25" s="36"/>
    </row>
    <row r="26" customFormat="false" ht="15" hidden="false" customHeight="true" outlineLevel="0" collapsed="false">
      <c r="A26" s="22" t="s">
        <v>288</v>
      </c>
      <c r="B26" s="22"/>
      <c r="C26" s="22"/>
      <c r="D26" s="38" t="n">
        <v>0.0248337872350781</v>
      </c>
      <c r="E26" s="39" t="s">
        <v>289</v>
      </c>
      <c r="F26" s="39"/>
      <c r="G26" s="39"/>
      <c r="H26" s="39"/>
      <c r="I26" s="39"/>
      <c r="J26" s="39"/>
    </row>
    <row r="27" customFormat="false" ht="23.85" hidden="false" customHeight="true" outlineLevel="0" collapsed="false">
      <c r="A27" s="22" t="s">
        <v>547</v>
      </c>
      <c r="B27" s="22"/>
      <c r="C27" s="22"/>
      <c r="D27" s="35" t="n">
        <v>46220.68</v>
      </c>
      <c r="E27" s="39" t="s">
        <v>291</v>
      </c>
      <c r="F27" s="39"/>
      <c r="G27" s="39"/>
      <c r="H27" s="39"/>
      <c r="I27" s="39"/>
      <c r="J27" s="39"/>
    </row>
    <row r="28" customFormat="false" ht="15" hidden="false" customHeight="true" outlineLevel="0" collapsed="false">
      <c r="A28" s="22" t="s">
        <v>292</v>
      </c>
      <c r="B28" s="22"/>
      <c r="C28" s="22"/>
      <c r="D28" s="35" t="n">
        <v>0</v>
      </c>
      <c r="E28" s="36"/>
      <c r="F28" s="36"/>
      <c r="G28" s="36"/>
      <c r="H28" s="36"/>
      <c r="I28" s="36"/>
      <c r="J28" s="36"/>
    </row>
    <row r="29" customFormat="false" ht="15" hidden="false" customHeight="true" outlineLevel="0" collapsed="false">
      <c r="A29" s="22" t="s">
        <v>293</v>
      </c>
      <c r="B29" s="22"/>
      <c r="C29" s="22"/>
      <c r="D29" s="35" t="n">
        <v>114350.2</v>
      </c>
      <c r="E29" s="36"/>
      <c r="F29" s="36"/>
      <c r="G29" s="36"/>
      <c r="H29" s="36"/>
      <c r="I29" s="36"/>
      <c r="J29" s="36"/>
    </row>
    <row r="30" customFormat="false" ht="15" hidden="false" customHeight="true" outlineLevel="0" collapsed="false">
      <c r="A30" s="22" t="s">
        <v>294</v>
      </c>
      <c r="B30" s="22"/>
      <c r="C30" s="22"/>
      <c r="D30" s="38" t="n">
        <v>0.0416816166778898</v>
      </c>
      <c r="E30" s="39" t="s">
        <v>295</v>
      </c>
      <c r="F30" s="39"/>
      <c r="G30" s="39"/>
      <c r="H30" s="39"/>
      <c r="I30" s="39"/>
      <c r="J30" s="39"/>
    </row>
    <row r="31" customFormat="false" ht="27.75" hidden="false" customHeight="true" outlineLevel="0" collapsed="false">
      <c r="A31" s="40" t="s">
        <v>548</v>
      </c>
      <c r="B31" s="40"/>
      <c r="C31" s="40"/>
      <c r="D31" s="40"/>
      <c r="E31" s="40"/>
      <c r="F31" s="40"/>
      <c r="G31" s="40"/>
      <c r="H31" s="40"/>
      <c r="I31" s="40"/>
      <c r="J31" s="40"/>
    </row>
    <row r="32" customFormat="false" ht="15" hidden="false" customHeight="false" outlineLevel="0" collapsed="false">
      <c r="A32" s="41" t="s">
        <v>549</v>
      </c>
      <c r="B32" s="41"/>
      <c r="C32" s="41"/>
      <c r="D32" s="41"/>
      <c r="E32" s="41"/>
      <c r="F32" s="41"/>
      <c r="G32" s="41"/>
      <c r="H32" s="41"/>
      <c r="I32" s="41"/>
      <c r="J32" s="41"/>
    </row>
    <row r="34" customFormat="false" ht="15" hidden="false" customHeight="false" outlineLevel="0" collapsed="false">
      <c r="A34" s="25" t="s">
        <v>298</v>
      </c>
    </row>
    <row r="35" customFormat="false" ht="15" hidden="false" customHeight="true" outlineLevel="0" collapsed="false">
      <c r="A35" s="22" t="s">
        <v>299</v>
      </c>
      <c r="B35" s="22"/>
      <c r="C35" s="22"/>
      <c r="D35" s="42" t="n">
        <v>0</v>
      </c>
      <c r="E35" s="43" t="s">
        <v>300</v>
      </c>
      <c r="F35" s="43"/>
      <c r="G35" s="43"/>
      <c r="H35" s="43"/>
      <c r="I35" s="43"/>
      <c r="J35" s="43"/>
    </row>
    <row r="36" customFormat="false" ht="15" hidden="false" customHeight="true" outlineLevel="0" collapsed="false">
      <c r="A36" s="22" t="s">
        <v>301</v>
      </c>
      <c r="B36" s="22"/>
      <c r="C36" s="22"/>
      <c r="D36" s="34" t="s">
        <v>302</v>
      </c>
      <c r="E36" s="43" t="s">
        <v>303</v>
      </c>
      <c r="F36" s="43"/>
      <c r="G36" s="43"/>
      <c r="H36" s="43"/>
      <c r="I36" s="43"/>
      <c r="J36" s="43"/>
    </row>
    <row r="37" customFormat="false" ht="15" hidden="false" customHeight="true" outlineLevel="0" collapsed="false">
      <c r="A37" s="22" t="s">
        <v>304</v>
      </c>
      <c r="B37" s="22"/>
      <c r="C37" s="22"/>
      <c r="D37" s="44"/>
      <c r="E37" s="43" t="s">
        <v>305</v>
      </c>
      <c r="F37" s="43"/>
      <c r="G37" s="43"/>
      <c r="H37" s="43"/>
      <c r="I37" s="43"/>
      <c r="J37" s="43"/>
    </row>
    <row r="38" customFormat="false" ht="23.85" hidden="false" customHeight="true" outlineLevel="0" collapsed="false">
      <c r="A38" s="22" t="s">
        <v>306</v>
      </c>
      <c r="B38" s="22"/>
      <c r="C38" s="22"/>
      <c r="D38" s="45" t="str">
        <f aca="false">IF(OR($D$35="",E18=""),"",IF($D$35=0,"— (no % rent)",E18/$D$35))</f>
        <v>— (no % rent)</v>
      </c>
      <c r="E38" s="43" t="s">
        <v>307</v>
      </c>
      <c r="F38" s="43"/>
      <c r="G38" s="43"/>
      <c r="H38" s="43"/>
      <c r="I38" s="43"/>
      <c r="J38" s="43"/>
    </row>
    <row r="39" customFormat="false" ht="23.85" hidden="false" customHeight="true" outlineLevel="0" collapsed="false">
      <c r="A39" s="22" t="s">
        <v>308</v>
      </c>
      <c r="B39" s="22"/>
      <c r="C39" s="22"/>
      <c r="D39" s="45" t="str">
        <f aca="false">IF($D$35="","",IF($D$35=0,"— (no % rent)",IF($D$37&lt;&gt;"",$D$37,IF(E18="","",E18/$D$35))))</f>
        <v>— (no % rent)</v>
      </c>
      <c r="E39" s="36"/>
      <c r="F39" s="36"/>
      <c r="G39" s="36"/>
      <c r="H39" s="36"/>
      <c r="I39" s="36"/>
      <c r="J39" s="36"/>
    </row>
    <row r="40" customFormat="false" ht="15" hidden="false" customHeight="true" outlineLevel="0" collapsed="false">
      <c r="A40" s="22" t="s">
        <v>309</v>
      </c>
      <c r="B40" s="22"/>
      <c r="C40" s="22"/>
      <c r="D40" s="45" t="n">
        <f aca="false">IF(OR($D$35="",D13=""),"",IF($D$35=0,0,IF($D$39="","",MAX(0,D13-$D$39)*$D$35)))</f>
        <v>0</v>
      </c>
      <c r="E40" s="36"/>
      <c r="F40" s="36"/>
      <c r="G40" s="36"/>
      <c r="H40" s="36"/>
      <c r="I40" s="36"/>
      <c r="J40" s="36"/>
    </row>
    <row r="41" customFormat="false" ht="15" hidden="false" customHeight="true" outlineLevel="0" collapsed="false">
      <c r="A41" s="22" t="s">
        <v>310</v>
      </c>
      <c r="B41" s="22"/>
      <c r="C41" s="22"/>
      <c r="D41" s="45" t="n">
        <f aca="false">IF(OR(D40="",E18=""),"",E18+D40)</f>
        <v>68129.52</v>
      </c>
      <c r="E41" s="36"/>
      <c r="F41" s="36"/>
      <c r="G41" s="36"/>
      <c r="H41" s="36"/>
      <c r="I41" s="36"/>
      <c r="J41" s="36"/>
    </row>
    <row r="42" customFormat="false" ht="15" hidden="false" customHeight="true" outlineLevel="0" collapsed="false">
      <c r="A42" s="22" t="s">
        <v>311</v>
      </c>
      <c r="B42" s="22"/>
      <c r="C42" s="22"/>
      <c r="D42" s="46" t="n">
        <f aca="false">IF(OR(D41="",D13=""),"",D41/D13)</f>
        <v>0.0248337872350781</v>
      </c>
      <c r="E42" s="36"/>
      <c r="F42" s="36"/>
      <c r="G42" s="36"/>
      <c r="H42" s="36"/>
      <c r="I42" s="36"/>
      <c r="J42" s="36"/>
    </row>
    <row r="44" customFormat="false" ht="15" hidden="false" customHeight="false" outlineLevel="0" collapsed="false">
      <c r="A44" s="25" t="s">
        <v>312</v>
      </c>
    </row>
    <row r="45" customFormat="false" ht="22.35" hidden="false" customHeight="false" outlineLevel="0" collapsed="false">
      <c r="A45" s="26" t="s">
        <v>313</v>
      </c>
      <c r="B45" s="26" t="s">
        <v>314</v>
      </c>
      <c r="C45" s="26" t="s">
        <v>315</v>
      </c>
      <c r="D45" s="26" t="s">
        <v>316</v>
      </c>
      <c r="E45" s="26" t="s">
        <v>317</v>
      </c>
      <c r="F45" s="26" t="s">
        <v>318</v>
      </c>
      <c r="G45" s="26" t="s">
        <v>319</v>
      </c>
      <c r="H45" s="26" t="s">
        <v>269</v>
      </c>
      <c r="I45" s="26" t="s">
        <v>320</v>
      </c>
      <c r="J45" s="26" t="s">
        <v>321</v>
      </c>
    </row>
    <row r="46" customFormat="false" ht="22.35" hidden="false" customHeight="false" outlineLevel="0" collapsed="false">
      <c r="A46" s="47" t="s">
        <v>156</v>
      </c>
      <c r="B46" s="47" t="s">
        <v>550</v>
      </c>
      <c r="C46" s="47" t="s">
        <v>158</v>
      </c>
      <c r="D46" s="47" t="s">
        <v>464</v>
      </c>
      <c r="E46" s="47" t="s">
        <v>551</v>
      </c>
      <c r="F46" s="48"/>
      <c r="G46" s="47" t="s">
        <v>552</v>
      </c>
      <c r="H46" s="49" t="n">
        <v>137750</v>
      </c>
      <c r="I46" s="47" t="s">
        <v>334</v>
      </c>
      <c r="J46" s="47" t="s">
        <v>553</v>
      </c>
    </row>
    <row r="47" customFormat="false" ht="32.8" hidden="false" customHeight="false" outlineLevel="0" collapsed="false">
      <c r="A47" s="47" t="s">
        <v>148</v>
      </c>
      <c r="B47" s="47" t="s">
        <v>554</v>
      </c>
      <c r="C47" s="47" t="s">
        <v>155</v>
      </c>
      <c r="D47" s="47" t="s">
        <v>555</v>
      </c>
      <c r="E47" s="47" t="s">
        <v>556</v>
      </c>
      <c r="F47" s="48"/>
      <c r="G47" s="47" t="s">
        <v>327</v>
      </c>
      <c r="H47" s="49" t="n">
        <v>114708</v>
      </c>
      <c r="I47" s="50" t="s">
        <v>328</v>
      </c>
      <c r="J47" s="47" t="s">
        <v>557</v>
      </c>
    </row>
    <row r="48" customFormat="false" ht="15" hidden="false" customHeight="false" outlineLevel="0" collapsed="false">
      <c r="A48" s="52" t="s">
        <v>344</v>
      </c>
      <c r="B48" s="52"/>
      <c r="C48" s="52"/>
      <c r="D48" s="52"/>
      <c r="E48" s="52"/>
      <c r="F48" s="52"/>
      <c r="G48" s="52"/>
      <c r="H48" s="53" t="n">
        <f aca="false">IF(COUNT(H46:H47)=0,"",AVERAGE(H46:H47))</f>
        <v>126229</v>
      </c>
      <c r="I48" s="52" t="str">
        <f aca="false">IF(COUNT(H46:H47)=0,"",TEXT(MIN(H46:H47),"$#,##0")&amp;" – "&amp;TEXT(MAX(H46:H47),"$#,##0"))</f>
        <v>$114,708 – $137,750</v>
      </c>
      <c r="J48" s="36"/>
    </row>
    <row r="50" customFormat="false" ht="15" hidden="false" customHeight="false" outlineLevel="0" collapsed="false">
      <c r="A50" s="25" t="s">
        <v>345</v>
      </c>
    </row>
    <row r="51" customFormat="false" ht="53.7" hidden="false" customHeight="true" outlineLevel="0" collapsed="false">
      <c r="A51" s="26" t="s">
        <v>346</v>
      </c>
      <c r="B51" s="26"/>
      <c r="C51" s="26"/>
      <c r="D51" s="26" t="s">
        <v>347</v>
      </c>
      <c r="E51" s="26" t="s">
        <v>348</v>
      </c>
      <c r="F51" s="26" t="s">
        <v>349</v>
      </c>
      <c r="G51" s="26" t="s">
        <v>350</v>
      </c>
      <c r="H51" s="54" t="s">
        <v>351</v>
      </c>
    </row>
    <row r="52" customFormat="false" ht="68.65" hidden="false" customHeight="true" outlineLevel="0" collapsed="false">
      <c r="A52" s="22" t="s">
        <v>352</v>
      </c>
      <c r="B52" s="22"/>
      <c r="C52" s="22"/>
      <c r="D52" s="55" t="s">
        <v>353</v>
      </c>
      <c r="E52" s="56"/>
      <c r="F52" s="56"/>
      <c r="G52" s="56"/>
      <c r="H52" s="56"/>
    </row>
    <row r="53" customFormat="false" ht="15" hidden="false" customHeight="true" outlineLevel="0" collapsed="false">
      <c r="A53" s="22" t="s">
        <v>354</v>
      </c>
      <c r="B53" s="22"/>
      <c r="C53" s="22"/>
      <c r="D53" s="57" t="n">
        <v>68130</v>
      </c>
      <c r="E53" s="57"/>
      <c r="F53" s="57"/>
      <c r="G53" s="57"/>
      <c r="H53" s="57"/>
    </row>
    <row r="54" customFormat="false" ht="15" hidden="false" customHeight="true" outlineLevel="0" collapsed="false">
      <c r="A54" s="22" t="s">
        <v>355</v>
      </c>
      <c r="B54" s="22"/>
      <c r="C54" s="22"/>
      <c r="D54" s="82" t="n">
        <v>0.02</v>
      </c>
      <c r="E54" s="58"/>
      <c r="F54" s="58"/>
      <c r="G54" s="58"/>
      <c r="H54" s="58"/>
    </row>
    <row r="55" customFormat="false" ht="15" hidden="false" customHeight="true" outlineLevel="0" collapsed="false">
      <c r="A55" s="22" t="s">
        <v>356</v>
      </c>
      <c r="B55" s="22"/>
      <c r="C55" s="22"/>
      <c r="D55" s="56" t="n">
        <v>5</v>
      </c>
      <c r="E55" s="56"/>
      <c r="F55" s="56"/>
      <c r="G55" s="56"/>
      <c r="H55" s="56"/>
    </row>
    <row r="56" customFormat="false" ht="15" hidden="false" customHeight="true" outlineLevel="0" collapsed="false">
      <c r="A56" s="22" t="s">
        <v>357</v>
      </c>
      <c r="B56" s="22"/>
      <c r="C56" s="22"/>
      <c r="D56" s="59" t="n">
        <v>20</v>
      </c>
      <c r="E56" s="59"/>
      <c r="F56" s="59"/>
      <c r="G56" s="59"/>
      <c r="H56" s="59"/>
    </row>
    <row r="57" customFormat="false" ht="15" hidden="false" customHeight="true" outlineLevel="0" collapsed="false">
      <c r="A57" s="22" t="s">
        <v>358</v>
      </c>
      <c r="B57" s="22"/>
      <c r="C57" s="22"/>
      <c r="D57" s="60" t="n">
        <f aca="false">IF(OR(D53="",E18=""),"",D53-E18)</f>
        <v>0.479999999995925</v>
      </c>
      <c r="E57" s="60" t="str">
        <f aca="false">IF(OR(E53="",E18=""),"",E53-E18)</f>
        <v/>
      </c>
      <c r="F57" s="60" t="str">
        <f aca="false">IF(OR(F53="",E18=""),"",F53-E18)</f>
        <v/>
      </c>
      <c r="G57" s="60" t="str">
        <f aca="false">IF(OR(G53="",E18=""),"",G53-E18)</f>
        <v/>
      </c>
      <c r="H57" s="60" t="str">
        <f aca="false">IF(OR(H53="",E18=""),"",H53-E18)</f>
        <v/>
      </c>
    </row>
    <row r="58" customFormat="false" ht="15" hidden="false" customHeight="true" outlineLevel="0" collapsed="false">
      <c r="A58" s="22" t="s">
        <v>359</v>
      </c>
      <c r="B58" s="22"/>
      <c r="C58" s="22"/>
      <c r="D58" s="61" t="n">
        <f aca="false">IF(OR(D53="",E18=""),"",(D53-E18)/E18)</f>
        <v>7.04540410670625E-006</v>
      </c>
      <c r="E58" s="61" t="str">
        <f aca="false">IF(OR(E53="",E18=""),"",(E53-E18)/E18)</f>
        <v/>
      </c>
      <c r="F58" s="61" t="str">
        <f aca="false">IF(OR(F53="",E18=""),"",(F53-E18)/E18)</f>
        <v/>
      </c>
      <c r="G58" s="61" t="str">
        <f aca="false">IF(OR(G53="",E18=""),"",(G53-E18)/E18)</f>
        <v/>
      </c>
      <c r="H58" s="61" t="str">
        <f aca="false">IF(OR(H53="",E18=""),"",(H53-E18)/E18)</f>
        <v/>
      </c>
    </row>
    <row r="59" customFormat="false" ht="15" hidden="false" customHeight="true" outlineLevel="0" collapsed="false">
      <c r="A59" s="22" t="s">
        <v>360</v>
      </c>
      <c r="B59" s="22"/>
      <c r="C59" s="22"/>
      <c r="D59" s="62" t="n">
        <f aca="false">IF(OR(D53="",D13=""),"",D53/D13)</f>
        <v>0.0248339621991446</v>
      </c>
      <c r="E59" s="62" t="str">
        <f aca="false">IF(OR(E53="",D13=""),"",E53/D13)</f>
        <v/>
      </c>
      <c r="F59" s="62" t="str">
        <f aca="false">IF(OR(F53="",D13=""),"",F53/D13)</f>
        <v/>
      </c>
      <c r="G59" s="62" t="str">
        <f aca="false">IF(OR(G53="",D13=""),"",G53/D13)</f>
        <v/>
      </c>
      <c r="H59" s="62" t="str">
        <f aca="false">IF(OR(H53="",D13=""),"",H53/D13)</f>
        <v/>
      </c>
    </row>
    <row r="60" customFormat="false" ht="15" hidden="false" customHeight="true" outlineLevel="0" collapsed="false">
      <c r="A60" s="22" t="s">
        <v>361</v>
      </c>
      <c r="B60" s="22"/>
      <c r="C60" s="22"/>
      <c r="D60" s="61" t="n">
        <f aca="false">IF(OR(D53="",H48=""),"",(D53-H48)/H48)</f>
        <v>-0.460266658216416</v>
      </c>
      <c r="E60" s="61" t="str">
        <f aca="false">IF(OR(E53="",H48=""),"",(E53-H48)/H48)</f>
        <v/>
      </c>
      <c r="F60" s="61" t="str">
        <f aca="false">IF(OR(F53="",H48=""),"",(F53-H48)/H48)</f>
        <v/>
      </c>
      <c r="G60" s="61" t="str">
        <f aca="false">IF(OR(G53="",H48=""),"",(G53-H48)/H48)</f>
        <v/>
      </c>
      <c r="H60" s="61" t="str">
        <f aca="false">IF(OR(H53="",H48=""),"",(H53-H48)/H48)</f>
        <v/>
      </c>
    </row>
    <row r="61" customFormat="false" ht="15" hidden="false" customHeight="true" outlineLevel="0" collapsed="false">
      <c r="A61" s="22" t="s">
        <v>362</v>
      </c>
      <c r="B61" s="22"/>
      <c r="C61" s="22"/>
      <c r="D61" s="63" t="n">
        <f aca="true">IF(D53="","",SUMPRODUCT(D53*(1+IF(D54="",0,D54))^ROUNDDOWN((ROW(INDIRECT("1:10"))-1)/IF(D55="",5,D55),0)))</f>
        <v>688113</v>
      </c>
      <c r="E61" s="63" t="str">
        <f aca="true">IF(E53="","",SUMPRODUCT(E53*(1+IF(E54="",0,E54))^ROUNDDOWN((ROW(INDIRECT("1:10"))-1)/IF(E55="",5,E55),0)))</f>
        <v/>
      </c>
      <c r="F61" s="63" t="str">
        <f aca="true">IF(F53="","",SUMPRODUCT(F53*(1+IF(F54="",0,F54))^ROUNDDOWN((ROW(INDIRECT("1:10"))-1)/IF(F55="",5,F55),0)))</f>
        <v/>
      </c>
      <c r="G61" s="63" t="str">
        <f aca="true">IF(G53="","",SUMPRODUCT(G53*(1+IF(G54="",0,G54))^ROUNDDOWN((ROW(INDIRECT("1:10"))-1)/IF(G55="",5,G55),0)))</f>
        <v/>
      </c>
      <c r="H61" s="63" t="str">
        <f aca="true">IF(H53="","",SUMPRODUCT(H53*(1+IF(H54="",0,H54))^ROUNDDOWN((ROW(INDIRECT("1:10"))-1)/IF(H55="",5,H55),0)))</f>
        <v/>
      </c>
    </row>
    <row r="62" customFormat="false" ht="15" hidden="false" customHeight="true" outlineLevel="0" collapsed="false">
      <c r="A62" s="22" t="s">
        <v>363</v>
      </c>
      <c r="B62" s="22"/>
      <c r="C62" s="22"/>
      <c r="D62" s="60" t="n">
        <f aca="false">IF(OR(D61="",E21=""),"",D61-E21)</f>
        <v>-95921.9520000001</v>
      </c>
      <c r="E62" s="60" t="str">
        <f aca="false">IF(OR(E61="",E21=""),"",E61-E21)</f>
        <v/>
      </c>
      <c r="F62" s="60" t="str">
        <f aca="false">IF(OR(F61="",E21=""),"",F61-E21)</f>
        <v/>
      </c>
      <c r="G62" s="60" t="str">
        <f aca="false">IF(OR(G61="",E21=""),"",G61-E21)</f>
        <v/>
      </c>
      <c r="H62" s="60" t="str">
        <f aca="false">IF(OR(H61="",E21=""),"",H61-E21)</f>
        <v/>
      </c>
    </row>
    <row r="63" customFormat="false" ht="23.85" hidden="false" customHeight="true" outlineLevel="0" collapsed="false">
      <c r="A63" s="22" t="s">
        <v>364</v>
      </c>
      <c r="B63" s="22"/>
      <c r="C63" s="22"/>
      <c r="D63" s="58"/>
      <c r="E63" s="58"/>
      <c r="F63" s="58"/>
      <c r="G63" s="58"/>
      <c r="H63" s="58"/>
    </row>
    <row r="64" customFormat="false" ht="23.85" hidden="false" customHeight="true" outlineLevel="0" collapsed="false">
      <c r="A64" s="22" t="s">
        <v>365</v>
      </c>
      <c r="B64" s="22"/>
      <c r="C64" s="22"/>
      <c r="D64" s="57"/>
      <c r="E64" s="57"/>
      <c r="F64" s="57"/>
      <c r="G64" s="57"/>
      <c r="H64" s="57"/>
    </row>
    <row r="65" customFormat="false" ht="15" hidden="false" customHeight="true" outlineLevel="0" collapsed="false">
      <c r="A65" s="22" t="s">
        <v>366</v>
      </c>
      <c r="B65" s="22"/>
      <c r="C65" s="22"/>
      <c r="D65" s="63" t="str">
        <f aca="false">IF(OR(D53="",AND(D63="",$D$35="")),"",IF(IF(D63="",IF($D$35="",0,$D$35),D63)=0,"— (% rent removed)",IF(D64&lt;&gt;"",D64,IF($D$37&lt;&gt;"",$D$37,D53/IF(D63="",IF($D$35="",0,$D$35),D63)))))</f>
        <v>— (% rent removed)</v>
      </c>
      <c r="E65" s="63" t="str">
        <f aca="false">IF(OR(E53="",AND(E63="",$D$35="")),"",IF(IF(E63="",IF($D$35="",0,$D$35),E63)=0,"— (% rent removed)",IF(E64&lt;&gt;"",E64,IF($D$37&lt;&gt;"",$D$37,E53/IF(E63="",IF($D$35="",0,$D$35),E63)))))</f>
        <v/>
      </c>
      <c r="F65" s="63" t="str">
        <f aca="false">IF(OR(F53="",AND(F63="",$D$35="")),"",IF(IF(F63="",IF($D$35="",0,$D$35),F63)=0,"— (% rent removed)",IF(F64&lt;&gt;"",F64,IF($D$37&lt;&gt;"",$D$37,F53/IF(F63="",IF($D$35="",0,$D$35),F63)))))</f>
        <v/>
      </c>
      <c r="G65" s="63" t="str">
        <f aca="false">IF(OR(G53="",AND(G63="",$D$35="")),"",IF(IF(G63="",IF($D$35="",0,$D$35),G63)=0,"— (% rent removed)",IF(G64&lt;&gt;"",G64,IF($D$37&lt;&gt;"",$D$37,G53/IF(G63="",IF($D$35="",0,$D$35),G63)))))</f>
        <v/>
      </c>
      <c r="H65" s="63" t="str">
        <f aca="false">IF(OR(H53="",AND(H63="",$D$35="")),"",IF(IF(H63="",IF($D$35="",0,$D$35),H63)=0,"— (% rent removed)",IF(H64&lt;&gt;"",H64,IF($D$37&lt;&gt;"",$D$37,H53/IF(H63="",IF($D$35="",0,$D$35),H63)))))</f>
        <v/>
      </c>
    </row>
    <row r="66" customFormat="false" ht="15" hidden="false" customHeight="true" outlineLevel="0" collapsed="false">
      <c r="A66" s="22" t="s">
        <v>367</v>
      </c>
      <c r="B66" s="22"/>
      <c r="C66" s="22"/>
      <c r="D66" s="63" t="n">
        <f aca="false">IF(OR(D53="",AND(D63="",$D$35=""),D13=""),"",IF(IF(D63="",IF($D$35="",0,$D$35),D63)=0,0,MAX(0,D13-D65)*IF(D63="",IF($D$35="",0,$D$35),D63)))</f>
        <v>0</v>
      </c>
      <c r="E66" s="63" t="str">
        <f aca="false">IF(OR(E53="",AND(E63="",$D$35=""),D13=""),"",IF(IF(E63="",IF($D$35="",0,$D$35),E63)=0,0,MAX(0,D13-E65)*IF(E63="",IF($D$35="",0,$D$35),E63)))</f>
        <v/>
      </c>
      <c r="F66" s="63" t="str">
        <f aca="false">IF(OR(F53="",AND(F63="",$D$35=""),D13=""),"",IF(IF(F63="",IF($D$35="",0,$D$35),F63)=0,0,MAX(0,D13-F65)*IF(F63="",IF($D$35="",0,$D$35),F63)))</f>
        <v/>
      </c>
      <c r="G66" s="63" t="str">
        <f aca="false">IF(OR(G53="",AND(G63="",$D$35=""),D13=""),"",IF(IF(G63="",IF($D$35="",0,$D$35),G63)=0,0,MAX(0,D13-G65)*IF(G63="",IF($D$35="",0,$D$35),G63)))</f>
        <v/>
      </c>
      <c r="H66" s="63" t="str">
        <f aca="false">IF(OR(H53="",AND(H63="",$D$35=""),D13=""),"",IF(IF(H63="",IF($D$35="",0,$D$35),H63)=0,0,MAX(0,D13-H65)*IF(H63="",IF($D$35="",0,$D$35),H63)))</f>
        <v/>
      </c>
    </row>
    <row r="67" customFormat="false" ht="15" hidden="false" customHeight="true" outlineLevel="0" collapsed="false">
      <c r="A67" s="22" t="s">
        <v>368</v>
      </c>
      <c r="B67" s="22"/>
      <c r="C67" s="22"/>
      <c r="D67" s="63" t="n">
        <f aca="false">IF(OR(D53="",D66=""),"",D53+D66)</f>
        <v>68130</v>
      </c>
      <c r="E67" s="63" t="str">
        <f aca="false">IF(OR(E53="",E66=""),"",E53+E66)</f>
        <v/>
      </c>
      <c r="F67" s="63" t="str">
        <f aca="false">IF(OR(F53="",F66=""),"",F53+F66)</f>
        <v/>
      </c>
      <c r="G67" s="63" t="str">
        <f aca="false">IF(OR(G53="",G66=""),"",G53+G66)</f>
        <v/>
      </c>
      <c r="H67" s="63" t="str">
        <f aca="false">IF(OR(H53="",H66=""),"",H53+H66)</f>
        <v/>
      </c>
    </row>
    <row r="68" customFormat="false" ht="15" hidden="false" customHeight="true" outlineLevel="0" collapsed="false">
      <c r="A68" s="22" t="s">
        <v>369</v>
      </c>
      <c r="B68" s="22"/>
      <c r="C68" s="22"/>
      <c r="D68" s="62" t="n">
        <f aca="false">IF(OR(D67="",D13=""),"",D67/D13)</f>
        <v>0.0248339621991446</v>
      </c>
      <c r="E68" s="62" t="str">
        <f aca="false">IF(OR(E67="",D13=""),"",E67/D13)</f>
        <v/>
      </c>
      <c r="F68" s="62" t="str">
        <f aca="false">IF(OR(F67="",D13=""),"",F67/D13)</f>
        <v/>
      </c>
      <c r="G68" s="62" t="str">
        <f aca="false">IF(OR(G67="",D13=""),"",G67/D13)</f>
        <v/>
      </c>
      <c r="H68" s="62" t="str">
        <f aca="false">IF(OR(H67="",D13=""),"",H67/D13)</f>
        <v/>
      </c>
    </row>
    <row r="69" customFormat="false" ht="23.85" hidden="false" customHeight="true" outlineLevel="0" collapsed="false">
      <c r="A69" s="22" t="s">
        <v>370</v>
      </c>
      <c r="B69" s="22"/>
      <c r="C69" s="22"/>
      <c r="D69" s="64" t="n">
        <f aca="false">IF(D67="","",(772357.72-D67)/2743420.46)</f>
        <v>0.256696970175691</v>
      </c>
      <c r="E69" s="64" t="str">
        <f aca="false">IF(E67="","",(772357.72-E67)/2743420.46)</f>
        <v/>
      </c>
      <c r="F69" s="64" t="str">
        <f aca="false">IF(F67="","",(772357.72-F67)/2743420.46)</f>
        <v/>
      </c>
      <c r="G69" s="64" t="str">
        <f aca="false">IF(G67="","",(772357.72-G67)/2743420.46)</f>
        <v/>
      </c>
      <c r="H69" s="64" t="str">
        <f aca="false">IF(H67="","",(772357.72-H67)/2743420.46)</f>
        <v/>
      </c>
    </row>
    <row r="70" customFormat="false" ht="15" hidden="false" customHeight="true" outlineLevel="0" collapsed="false">
      <c r="A70" s="22" t="s">
        <v>371</v>
      </c>
      <c r="B70" s="22"/>
      <c r="C70" s="22"/>
      <c r="D70" s="63" t="n">
        <f aca="true">IF(OR(D53="",AND(D63="",$D$35=""),D13=""),"",IF(IF(D63="",IF($D$35="",0,$D$35),D63)=0,0,SUMPRODUCT(((D13*1.02^(ROW(INDIRECT("1:10"))-1))-(IF(D64&lt;&gt;"",D64,IF($D$37&lt;&gt;"",$D$37,(D53*(1+IF(D54="",0,D54))^ROUNDDOWN((ROW(INDIRECT("1:10"))-1)/IF(D55="",5,D55),0))/IF(D63="",IF($D$35="",0,$D$35),D63))))&gt;0)*((D13*1.02^(ROW(INDIRECT("1:10"))-1))-(IF(D64&lt;&gt;"",D64,IF($D$37&lt;&gt;"",$D$37,(D53*(1+IF(D54="",0,D54))^ROUNDDOWN((ROW(INDIRECT("1:10"))-1)/IF(D55="",5,D55),0))/IF(D63="",IF($D$35="",0,$D$35),D63))))))*IF(D63="",IF($D$35="",0,$D$35),D63)))</f>
        <v>0</v>
      </c>
      <c r="E70" s="63" t="str">
        <f aca="true">IF(OR(E53="",AND(E63="",$D$35=""),D13=""),"",IF(IF(E63="",IF($D$35="",0,$D$35),E63)=0,0,SUMPRODUCT(((D13*1.02^(ROW(INDIRECT("1:10"))-1))-(IF(E64&lt;&gt;"",E64,IF($D$37&lt;&gt;"",$D$37,(E53*(1+IF(E54="",0,E54))^ROUNDDOWN((ROW(INDIRECT("1:10"))-1)/IF(E55="",5,E55),0))/IF(E63="",IF($D$35="",0,$D$35),E63))))&gt;0)*((D13*1.02^(ROW(INDIRECT("1:10"))-1))-(IF(E64&lt;&gt;"",E64,IF($D$37&lt;&gt;"",$D$37,(E53*(1+IF(E54="",0,E54))^ROUNDDOWN((ROW(INDIRECT("1:10"))-1)/IF(E55="",5,E55),0))/IF(E63="",IF($D$35="",0,$D$35),E63))))))*IF(E63="",IF($D$35="",0,$D$35),E63)))</f>
        <v/>
      </c>
      <c r="F70" s="63" t="str">
        <f aca="true">IF(OR(F53="",AND(F63="",$D$35=""),D13=""),"",IF(IF(F63="",IF($D$35="",0,$D$35),F63)=0,0,SUMPRODUCT(((D13*1.02^(ROW(INDIRECT("1:10"))-1))-(IF(F64&lt;&gt;"",F64,IF($D$37&lt;&gt;"",$D$37,(F53*(1+IF(F54="",0,F54))^ROUNDDOWN((ROW(INDIRECT("1:10"))-1)/IF(F55="",5,F55),0))/IF(F63="",IF($D$35="",0,$D$35),F63))))&gt;0)*((D13*1.02^(ROW(INDIRECT("1:10"))-1))-(IF(F64&lt;&gt;"",F64,IF($D$37&lt;&gt;"",$D$37,(F53*(1+IF(F54="",0,F54))^ROUNDDOWN((ROW(INDIRECT("1:10"))-1)/IF(F55="",5,F55),0))/IF(F63="",IF($D$35="",0,$D$35),F63))))))*IF(F63="",IF($D$35="",0,$D$35),F63)))</f>
        <v/>
      </c>
      <c r="G70" s="63" t="str">
        <f aca="true">IF(OR(G53="",AND(G63="",$D$35=""),D13=""),"",IF(IF(G63="",IF($D$35="",0,$D$35),G63)=0,0,SUMPRODUCT(((D13*1.02^(ROW(INDIRECT("1:10"))-1))-(IF(G64&lt;&gt;"",G64,IF($D$37&lt;&gt;"",$D$37,(G53*(1+IF(G54="",0,G54))^ROUNDDOWN((ROW(INDIRECT("1:10"))-1)/IF(G55="",5,G55),0))/IF(G63="",IF($D$35="",0,$D$35),G63))))&gt;0)*((D13*1.02^(ROW(INDIRECT("1:10"))-1))-(IF(G64&lt;&gt;"",G64,IF($D$37&lt;&gt;"",$D$37,(G53*(1+IF(G54="",0,G54))^ROUNDDOWN((ROW(INDIRECT("1:10"))-1)/IF(G55="",5,G55),0))/IF(G63="",IF($D$35="",0,$D$35),G63))))))*IF(G63="",IF($D$35="",0,$D$35),G63)))</f>
        <v/>
      </c>
      <c r="H70" s="63" t="str">
        <f aca="true">IF(OR(H53="",AND(H63="",$D$35=""),D13=""),"",IF(IF(H63="",IF($D$35="",0,$D$35),H63)=0,0,SUMPRODUCT(((D13*1.02^(ROW(INDIRECT("1:10"))-1))-(IF(H64&lt;&gt;"",H64,IF($D$37&lt;&gt;"",$D$37,(H53*(1+IF(H54="",0,H54))^ROUNDDOWN((ROW(INDIRECT("1:10"))-1)/IF(H55="",5,H55),0))/IF(H63="",IF($D$35="",0,$D$35),H63))))&gt;0)*((D13*1.02^(ROW(INDIRECT("1:10"))-1))-(IF(H64&lt;&gt;"",H64,IF($D$37&lt;&gt;"",$D$37,(H53*(1+IF(H54="",0,H54))^ROUNDDOWN((ROW(INDIRECT("1:10"))-1)/IF(H55="",5,H55),0))/IF(H63="",IF($D$35="",0,$D$35),H63))))))*IF(H63="",IF($D$35="",0,$D$35),H63)))</f>
        <v/>
      </c>
    </row>
    <row r="71" customFormat="false" ht="15" hidden="false" customHeight="true" outlineLevel="0" collapsed="false">
      <c r="A71" s="22" t="s">
        <v>372</v>
      </c>
      <c r="B71" s="22"/>
      <c r="C71" s="22"/>
      <c r="D71" s="63" t="n">
        <f aca="false">IF(OR(D61="",D70=""),"",D61+D70)</f>
        <v>688113</v>
      </c>
      <c r="E71" s="63" t="str">
        <f aca="false">IF(OR(E61="",E70=""),"",E61+E70)</f>
        <v/>
      </c>
      <c r="F71" s="63" t="str">
        <f aca="false">IF(OR(F61="",F70=""),"",F61+F70)</f>
        <v/>
      </c>
      <c r="G71" s="63" t="str">
        <f aca="false">IF(OR(G61="",G70=""),"",G61+G70)</f>
        <v/>
      </c>
      <c r="H71" s="63" t="str">
        <f aca="false">IF(OR(H61="",H70=""),"",H61+H70)</f>
        <v/>
      </c>
    </row>
    <row r="72" customFormat="false" ht="23.85" hidden="false" customHeight="true" outlineLevel="0" collapsed="false">
      <c r="A72" s="22" t="s">
        <v>373</v>
      </c>
      <c r="B72" s="22"/>
      <c r="C72" s="22"/>
      <c r="D72" s="65" t="n">
        <f aca="true">IF(D53="","",SUMPRODUCT(D53*(1+IF(D54="",0,D54))^ROUNDDOWN((ROW(INDIRECT("1:"&amp;IF(D56="",10,D56)))-1)/IF(D55="",5,D55),0))+IF(OR(D13="",IF(D63="",IF($D$35="",0,$D$35),D63)=0),0,SUMPRODUCT(((D13*1.02^(ROW(INDIRECT("1:"&amp;IF(D56="",10,D56)))-1))-(IF(D64&lt;&gt;"",D64,IF($D$37&lt;&gt;"",$D$37,(D53*(1+IF(D54="",0,D54))^ROUNDDOWN((ROW(INDIRECT("1:"&amp;IF(D56="",10,D56)))-1)/IF(D55="",5,D55),0))/IF(D63="",IF($D$35="",0,$D$35),D63))))&gt;0)*((D13*1.02^(ROW(INDIRECT("1:"&amp;IF(D56="",10,D56)))-1))-(IF(D64&lt;&gt;"",D64,IF($D$37&lt;&gt;"",$D$37,(D53*(1+IF(D54="",0,D54))^ROUNDDOWN((ROW(INDIRECT("1:"&amp;IF(D56="",10,D56)))-1)/IF(D55="",5,D55),0))/IF(D63="",IF($D$35="",0,$D$35),D63))))))*IF(D63="",IF($D$35="",0,$D$35),D63)))</f>
        <v>1404025.7652</v>
      </c>
      <c r="E72" s="65" t="str">
        <f aca="true">IF(E53="","",SUMPRODUCT(E53*(1+IF(E54="",0,E54))^ROUNDDOWN((ROW(INDIRECT("1:"&amp;IF(E56="",10,E56)))-1)/IF(E55="",5,E55),0))+IF(OR(D13="",IF(E63="",IF($D$35="",0,$D$35),E63)=0),0,SUMPRODUCT(((D13*1.02^(ROW(INDIRECT("1:"&amp;IF(E56="",10,E56)))-1))-(IF(E64&lt;&gt;"",E64,IF($D$37&lt;&gt;"",$D$37,(E53*(1+IF(E54="",0,E54))^ROUNDDOWN((ROW(INDIRECT("1:"&amp;IF(E56="",10,E56)))-1)/IF(E55="",5,E55),0))/IF(E63="",IF($D$35="",0,$D$35),E63))))&gt;0)*((D13*1.02^(ROW(INDIRECT("1:"&amp;IF(E56="",10,E56)))-1))-(IF(E64&lt;&gt;"",E64,IF($D$37&lt;&gt;"",$D$37,(E53*(1+IF(E54="",0,E54))^ROUNDDOWN((ROW(INDIRECT("1:"&amp;IF(E56="",10,E56)))-1)/IF(E55="",5,E55),0))/IF(E63="",IF($D$35="",0,$D$35),E63))))))*IF(E63="",IF($D$35="",0,$D$35),E63)))</f>
        <v/>
      </c>
      <c r="F72" s="65" t="str">
        <f aca="true">IF(F53="","",SUMPRODUCT(F53*(1+IF(F54="",0,F54))^ROUNDDOWN((ROW(INDIRECT("1:"&amp;IF(F56="",10,F56)))-1)/IF(F55="",5,F55),0))+IF(OR(D13="",IF(F63="",IF($D$35="",0,$D$35),F63)=0),0,SUMPRODUCT(((D13*1.02^(ROW(INDIRECT("1:"&amp;IF(F56="",10,F56)))-1))-(IF(F64&lt;&gt;"",F64,IF($D$37&lt;&gt;"",$D$37,(F53*(1+IF(F54="",0,F54))^ROUNDDOWN((ROW(INDIRECT("1:"&amp;IF(F56="",10,F56)))-1)/IF(F55="",5,F55),0))/IF(F63="",IF($D$35="",0,$D$35),F63))))&gt;0)*((D13*1.02^(ROW(INDIRECT("1:"&amp;IF(F56="",10,F56)))-1))-(IF(F64&lt;&gt;"",F64,IF($D$37&lt;&gt;"",$D$37,(F53*(1+IF(F54="",0,F54))^ROUNDDOWN((ROW(INDIRECT("1:"&amp;IF(F56="",10,F56)))-1)/IF(F55="",5,F55),0))/IF(F63="",IF($D$35="",0,$D$35),F63))))))*IF(F63="",IF($D$35="",0,$D$35),F63)))</f>
        <v/>
      </c>
      <c r="G72" s="65" t="str">
        <f aca="true">IF(G53="","",SUMPRODUCT(G53*(1+IF(G54="",0,G54))^ROUNDDOWN((ROW(INDIRECT("1:"&amp;IF(G56="",10,G56)))-1)/IF(G55="",5,G55),0))+IF(OR(D13="",IF(G63="",IF($D$35="",0,$D$35),G63)=0),0,SUMPRODUCT(((D13*1.02^(ROW(INDIRECT("1:"&amp;IF(G56="",10,G56)))-1))-(IF(G64&lt;&gt;"",G64,IF($D$37&lt;&gt;"",$D$37,(G53*(1+IF(G54="",0,G54))^ROUNDDOWN((ROW(INDIRECT("1:"&amp;IF(G56="",10,G56)))-1)/IF(G55="",5,G55),0))/IF(G63="",IF($D$35="",0,$D$35),G63))))&gt;0)*((D13*1.02^(ROW(INDIRECT("1:"&amp;IF(G56="",10,G56)))-1))-(IF(G64&lt;&gt;"",G64,IF($D$37&lt;&gt;"",$D$37,(G53*(1+IF(G54="",0,G54))^ROUNDDOWN((ROW(INDIRECT("1:"&amp;IF(G56="",10,G56)))-1)/IF(G55="",5,G55),0))/IF(G63="",IF($D$35="",0,$D$35),G63))))))*IF(G63="",IF($D$35="",0,$D$35),G63)))</f>
        <v/>
      </c>
      <c r="H72" s="65" t="str">
        <f aca="true">IF(H53="","",SUMPRODUCT(H53*(1+IF(H54="",0,H54))^ROUNDDOWN((ROW(INDIRECT("1:"&amp;IF(H56="",10,H56)))-1)/IF(H55="",5,H55),0))+IF(OR(D13="",IF(H63="",IF($D$35="",0,$D$35),H63)=0),0,SUMPRODUCT(((D13*1.02^(ROW(INDIRECT("1:"&amp;IF(H56="",10,H56)))-1))-(IF(H64&lt;&gt;"",H64,IF($D$37&lt;&gt;"",$D$37,(H53*(1+IF(H54="",0,H54))^ROUNDDOWN((ROW(INDIRECT("1:"&amp;IF(H56="",10,H56)))-1)/IF(H55="",5,H55),0))/IF(H63="",IF($D$35="",0,$D$35),H63))))&gt;0)*((D13*1.02^(ROW(INDIRECT("1:"&amp;IF(H56="",10,H56)))-1))-(IF(H64&lt;&gt;"",H64,IF($D$37&lt;&gt;"",$D$37,(H53*(1+IF(H54="",0,H54))^ROUNDDOWN((ROW(INDIRECT("1:"&amp;IF(H56="",10,H56)))-1)/IF(H55="",5,H55),0))/IF(H63="",IF($D$35="",0,$D$35),H63))))))*IF(H63="",IF($D$35="",0,$D$35),H63)))</f>
        <v/>
      </c>
    </row>
    <row r="73" customFormat="false" ht="15" hidden="false" customHeight="true" outlineLevel="0" collapsed="false">
      <c r="A73" s="22" t="s">
        <v>374</v>
      </c>
      <c r="B73" s="22"/>
      <c r="C73" s="22"/>
      <c r="D73" s="62" t="n">
        <f aca="false">IF(D53="","",IF(D54="",0,(1+D54)^(5/IF(D55="",5,D55))-1))</f>
        <v>0.02</v>
      </c>
      <c r="E73" s="62" t="str">
        <f aca="false">IF(E53="","",IF(E54="",0,(1+E54)^(5/IF(E55="",5,E55))-1))</f>
        <v/>
      </c>
      <c r="F73" s="62" t="str">
        <f aca="false">IF(F53="","",IF(F54="",0,(1+F54)^(5/IF(F55="",5,F55))-1))</f>
        <v/>
      </c>
      <c r="G73" s="62" t="str">
        <f aca="false">IF(G53="","",IF(G54="",0,(1+G54)^(5/IF(G55="",5,G55))-1))</f>
        <v/>
      </c>
      <c r="H73" s="62" t="str">
        <f aca="false">IF(H53="","",IF(H54="",0,(1+H54)^(5/IF(H55="",5,H55))-1))</f>
        <v/>
      </c>
    </row>
    <row r="74" customFormat="false" ht="43.25" hidden="false" customHeight="true" outlineLevel="0" collapsed="false">
      <c r="A74" s="22" t="s">
        <v>375</v>
      </c>
      <c r="B74" s="22"/>
      <c r="C74" s="22"/>
      <c r="D74" s="66" t="str">
        <f aca="false">IF(D73="","",IF(D73&lt;=0,"REDUCTION / FLAT — ladder steps 1-2 (best)",IF(D73&lt;=0.08,"OK — within 8%/5-yr in-house authority (ladder step 3)","ABOVE 8%/5-yr — CEO SIGN-OFF REQUIRED (Rob 8/5/26)")))</f>
        <v>OK — within 8%/5-yr in-house authority (ladder step 3)</v>
      </c>
      <c r="E74" s="66" t="str">
        <f aca="false">IF(E73="","",IF(E73&lt;=0,"REDUCTION / FLAT — ladder steps 1-2 (best)",IF(E73&lt;=0.08,"OK — within 8%/5-yr in-house authority (ladder step 3)","ABOVE 8%/5-yr — CEO SIGN-OFF REQUIRED (Rob 8/5/26)")))</f>
        <v/>
      </c>
      <c r="F74" s="66" t="str">
        <f aca="false">IF(F73="","",IF(F73&lt;=0,"REDUCTION / FLAT — ladder steps 1-2 (best)",IF(F73&lt;=0.08,"OK — within 8%/5-yr in-house authority (ladder step 3)","ABOVE 8%/5-yr — CEO SIGN-OFF REQUIRED (Rob 8/5/26)")))</f>
        <v/>
      </c>
      <c r="G74" s="66" t="str">
        <f aca="false">IF(G73="","",IF(G73&lt;=0,"REDUCTION / FLAT — ladder steps 1-2 (best)",IF(G73&lt;=0.08,"OK — within 8%/5-yr in-house authority (ladder step 3)","ABOVE 8%/5-yr — CEO SIGN-OFF REQUIRED (Rob 8/5/26)")))</f>
        <v/>
      </c>
      <c r="H74" s="66" t="str">
        <f aca="false">IF(H73="","",IF(H73&lt;=0,"REDUCTION / FLAT — ladder steps 1-2 (best)",IF(H73&lt;=0.08,"OK — within 8%/5-yr in-house authority (ladder step 3)","ABOVE 8%/5-yr — CEO SIGN-OFF REQUIRED (Rob 8/5/26)")))</f>
        <v/>
      </c>
    </row>
    <row r="75" customFormat="false" ht="23.85" hidden="false" customHeight="true" outlineLevel="0" collapsed="false">
      <c r="A75" s="22" t="s">
        <v>376</v>
      </c>
      <c r="B75" s="22"/>
      <c r="C75" s="22"/>
      <c r="D75" s="62" t="n">
        <f aca="false">IF(OR(D53="",D13=""),"",((D53*(1+IF(D54="",0,D54))^ROUNDDOWN(9/IF(D55="",5,D55),0))+IF(IF(D63="",IF($D$35="",0,$D$35),D63)=0,0,MAX(0,D13*1.02^9-IF(D64&lt;&gt;"",D64,IF($D$37&lt;&gt;"",$D$37,(D53*(1+IF(D54="",0,D54))^ROUNDDOWN(9/IF(D55="",5,D55),0))/IF(D63="",IF($D$35="",0,$D$35),D63))))*IF(D63="",IF($D$35="",0,$D$35),D63)))/(D13*1.02^9))</f>
        <v>0.0211955476154692</v>
      </c>
      <c r="E75" s="62" t="str">
        <f aca="false">IF(OR(E53="",D13=""),"",((E53*(1+IF(E54="",0,E54))^ROUNDDOWN(9/IF(E55="",5,E55),0))+IF(IF(E63="",IF($D$35="",0,$D$35),E63)=0,0,MAX(0,D13*1.02^9-IF(E64&lt;&gt;"",E64,IF($D$37&lt;&gt;"",$D$37,(E53*(1+IF(E54="",0,E54))^ROUNDDOWN(9/IF(E55="",5,E55),0))/IF(E63="",IF($D$35="",0,$D$35),E63))))*IF(E63="",IF($D$35="",0,$D$35),E63)))/(D13*1.02^9))</f>
        <v/>
      </c>
      <c r="F75" s="62" t="str">
        <f aca="false">IF(OR(F53="",D13=""),"",((F53*(1+IF(F54="",0,F54))^ROUNDDOWN(9/IF(F55="",5,F55),0))+IF(IF(F63="",IF($D$35="",0,$D$35),F63)=0,0,MAX(0,D13*1.02^9-IF(F64&lt;&gt;"",F64,IF($D$37&lt;&gt;"",$D$37,(F53*(1+IF(F54="",0,F54))^ROUNDDOWN(9/IF(F55="",5,F55),0))/IF(F63="",IF($D$35="",0,$D$35),F63))))*IF(F63="",IF($D$35="",0,$D$35),F63)))/(D13*1.02^9))</f>
        <v/>
      </c>
      <c r="G75" s="62" t="str">
        <f aca="false">IF(OR(G53="",D13=""),"",((G53*(1+IF(G54="",0,G54))^ROUNDDOWN(9/IF(G55="",5,G55),0))+IF(IF(G63="",IF($D$35="",0,$D$35),G63)=0,0,MAX(0,D13*1.02^9-IF(G64&lt;&gt;"",G64,IF($D$37&lt;&gt;"",$D$37,(G53*(1+IF(G54="",0,G54))^ROUNDDOWN(9/IF(G55="",5,G55),0))/IF(G63="",IF($D$35="",0,$D$35),G63))))*IF(G63="",IF($D$35="",0,$D$35),G63)))/(D13*1.02^9))</f>
        <v/>
      </c>
      <c r="H75" s="62" t="str">
        <f aca="false">IF(OR(H53="",D13=""),"",((H53*(1+IF(H54="",0,H54))^ROUNDDOWN(9/IF(H55="",5,H55),0))+IF(IF(H63="",IF($D$35="",0,$D$35),H63)=0,0,MAX(0,D13*1.02^9-IF(H64&lt;&gt;"",H64,IF($D$37&lt;&gt;"",$D$37,(H53*(1+IF(H54="",0,H54))^ROUNDDOWN(9/IF(H55="",5,H55),0))/IF(H63="",IF($D$35="",0,$D$35),H63))))*IF(H63="",IF($D$35="",0,$D$35),H63)))/(D13*1.02^9))</f>
        <v/>
      </c>
    </row>
    <row r="76" customFormat="false" ht="23.85" hidden="false" customHeight="true" outlineLevel="0" collapsed="false">
      <c r="A76" s="22" t="s">
        <v>377</v>
      </c>
      <c r="B76" s="22"/>
      <c r="C76" s="22"/>
      <c r="D76" s="66" t="str">
        <f aca="false">IF(OR(D75="",D68=""),"",IF(MAX(D68,D75)&gt;=0.08,"HARD STOP — occupancy at/above 8% of sales: STOP, CEO sign-off before responding",IF(MAX(D68,D75)&gt;0.07,"Above Kim 7% alert — approaching 8% hard stop","OK — under 7% alert")))</f>
        <v>OK — under 7% alert</v>
      </c>
      <c r="E76" s="66" t="str">
        <f aca="false">IF(OR(E75="",E68=""),"",IF(MAX(E68,E75)&gt;=0.08,"HARD STOP — occupancy at/above 8% of sales: STOP, CEO sign-off before responding",IF(MAX(E68,E75)&gt;0.07,"Above Kim 7% alert — approaching 8% hard stop","OK — under 7% alert")))</f>
        <v/>
      </c>
      <c r="F76" s="66" t="str">
        <f aca="false">IF(OR(F75="",F68=""),"",IF(MAX(F68,F75)&gt;=0.08,"HARD STOP — occupancy at/above 8% of sales: STOP, CEO sign-off before responding",IF(MAX(F68,F75)&gt;0.07,"Above Kim 7% alert — approaching 8% hard stop","OK — under 7% alert")))</f>
        <v/>
      </c>
      <c r="G76" s="66" t="str">
        <f aca="false">IF(OR(G75="",G68=""),"",IF(MAX(G68,G75)&gt;=0.08,"HARD STOP — occupancy at/above 8% of sales: STOP, CEO sign-off before responding",IF(MAX(G68,G75)&gt;0.07,"Above Kim 7% alert — approaching 8% hard stop","OK — under 7% alert")))</f>
        <v/>
      </c>
      <c r="H76" s="66" t="str">
        <f aca="false">IF(OR(H75="",H68=""),"",IF(MAX(H68,H75)&gt;=0.08,"HARD STOP — occupancy at/above 8% of sales: STOP, CEO sign-off before responding",IF(MAX(H68,H75)&gt;0.07,"Above Kim 7% alert — approaching 8% hard stop","OK — under 7% alert")))</f>
        <v/>
      </c>
    </row>
    <row r="78" customFormat="false" ht="22.35" hidden="false" customHeight="true" outlineLevel="0" collapsed="false">
      <c r="A78" s="68" t="s">
        <v>379</v>
      </c>
      <c r="B78" s="68"/>
      <c r="C78" s="68"/>
      <c r="D78" s="68"/>
      <c r="E78" s="68"/>
      <c r="F78" s="68"/>
      <c r="G78" s="68"/>
      <c r="H78" s="68"/>
      <c r="I78" s="68"/>
      <c r="J78" s="68"/>
    </row>
    <row r="80" customFormat="false" ht="15" hidden="false" customHeight="false" outlineLevel="0" collapsed="false">
      <c r="A80" s="69" t="s">
        <v>380</v>
      </c>
      <c r="B80" s="69"/>
      <c r="C80" s="69"/>
      <c r="D80" s="69"/>
      <c r="E80" s="69"/>
      <c r="F80" s="69"/>
      <c r="G80" s="69"/>
      <c r="H80" s="69"/>
      <c r="I80" s="69"/>
      <c r="J80" s="69"/>
    </row>
    <row r="83" customFormat="false" ht="15" hidden="false" customHeight="false" outlineLevel="0" collapsed="false">
      <c r="A83" s="25" t="s">
        <v>381</v>
      </c>
    </row>
    <row r="84" customFormat="false" ht="15" hidden="false" customHeight="false" outlineLevel="0" collapsed="false">
      <c r="A84" s="69" t="s">
        <v>382</v>
      </c>
      <c r="B84" s="69"/>
      <c r="C84" s="69"/>
      <c r="D84" s="69"/>
      <c r="E84" s="69"/>
      <c r="F84" s="69"/>
      <c r="G84" s="69"/>
      <c r="H84" s="69"/>
      <c r="I84" s="69"/>
      <c r="J84" s="69"/>
      <c r="K84" s="69"/>
      <c r="L84" s="69"/>
      <c r="M84" s="69"/>
      <c r="N84" s="69"/>
      <c r="O84" s="69"/>
      <c r="P84" s="69"/>
      <c r="Q84" s="69"/>
      <c r="R84" s="69"/>
      <c r="S84" s="69"/>
      <c r="T84" s="69"/>
    </row>
    <row r="85" customFormat="false" ht="15" hidden="false" customHeight="true" outlineLevel="0" collapsed="false">
      <c r="A85" s="70" t="s">
        <v>383</v>
      </c>
      <c r="B85" s="70" t="s">
        <v>384</v>
      </c>
      <c r="C85" s="71" t="s">
        <v>385</v>
      </c>
      <c r="D85" s="71"/>
      <c r="E85" s="71"/>
      <c r="F85" s="71" t="s">
        <v>386</v>
      </c>
      <c r="G85" s="71"/>
      <c r="H85" s="71"/>
      <c r="I85" s="71" t="s">
        <v>387</v>
      </c>
      <c r="J85" s="71"/>
      <c r="K85" s="71"/>
      <c r="L85" s="71" t="s">
        <v>388</v>
      </c>
      <c r="M85" s="71"/>
      <c r="N85" s="71"/>
      <c r="O85" s="71" t="s">
        <v>389</v>
      </c>
      <c r="P85" s="71"/>
      <c r="Q85" s="71"/>
      <c r="R85" s="72" t="s">
        <v>390</v>
      </c>
      <c r="S85" s="72"/>
      <c r="T85" s="72"/>
    </row>
    <row r="86" customFormat="false" ht="15" hidden="false" customHeight="false" outlineLevel="0" collapsed="false">
      <c r="A86" s="73"/>
      <c r="B86" s="73"/>
      <c r="C86" s="73" t="s">
        <v>391</v>
      </c>
      <c r="D86" s="73" t="s">
        <v>392</v>
      </c>
      <c r="E86" s="73" t="s">
        <v>393</v>
      </c>
      <c r="F86" s="73" t="s">
        <v>391</v>
      </c>
      <c r="G86" s="73" t="s">
        <v>392</v>
      </c>
      <c r="H86" s="73" t="s">
        <v>393</v>
      </c>
      <c r="I86" s="73" t="s">
        <v>391</v>
      </c>
      <c r="J86" s="73" t="s">
        <v>392</v>
      </c>
      <c r="K86" s="73" t="s">
        <v>393</v>
      </c>
      <c r="L86" s="73" t="s">
        <v>391</v>
      </c>
      <c r="M86" s="73" t="s">
        <v>392</v>
      </c>
      <c r="N86" s="73" t="s">
        <v>393</v>
      </c>
      <c r="O86" s="73" t="s">
        <v>391</v>
      </c>
      <c r="P86" s="73" t="s">
        <v>392</v>
      </c>
      <c r="Q86" s="73" t="s">
        <v>393</v>
      </c>
      <c r="R86" s="73" t="s">
        <v>391</v>
      </c>
      <c r="S86" s="73" t="s">
        <v>392</v>
      </c>
      <c r="T86" s="73" t="s">
        <v>393</v>
      </c>
    </row>
    <row r="87" customFormat="false" ht="15" hidden="false" customHeight="false" outlineLevel="0" collapsed="false">
      <c r="A87" s="74" t="n">
        <v>1</v>
      </c>
      <c r="B87" s="75" t="n">
        <v>2743420</v>
      </c>
      <c r="C87" s="76" t="n">
        <v>68130</v>
      </c>
      <c r="D87" s="76" t="n">
        <v>0</v>
      </c>
      <c r="E87" s="76" t="n">
        <v>68130</v>
      </c>
      <c r="F87" s="75" t="n">
        <f aca="false">IF(D53="","",IF(1&gt;IF(D56="",10,D56),"",D53*(1+IF(D54="",0,D54))^ROUNDDOWN((1-1)/IF(D55="",5,D55),0)))</f>
        <v>68130</v>
      </c>
      <c r="G87" s="75" t="n">
        <f aca="false">IF(F87="","",IF((IF(D63="",IF($D$35="",0,$D$35),D63))=0,0,MAX(0,2743420.46-(IF(D64&lt;&gt;"",D64,IF($D$37&lt;&gt;"",$D$37,IF((IF(D63="",IF($D$35="",0,$D$35),D63))=0,0,D53/(IF(D63="",IF($D$35="",0,$D$35),D63)))))))*(IF(D63="",IF($D$35="",0,$D$35),D63))))</f>
        <v>0</v>
      </c>
      <c r="H87" s="75" t="n">
        <f aca="false">IF(F87="","",F87+G87)</f>
        <v>68130</v>
      </c>
      <c r="I87" s="75" t="str">
        <f aca="false">IF(E53="","",IF(1&gt;IF(E56="",10,E56),"",E53*(1+IF(E54="",0,E54))^ROUNDDOWN((1-1)/IF(E55="",5,E55),0)))</f>
        <v/>
      </c>
      <c r="J87" s="75" t="str">
        <f aca="false">IF(I87="","",IF((IF(E63="",IF($D$35="",0,$D$35),E63))=0,0,MAX(0,2743420.46-(IF(E64&lt;&gt;"",E64,IF($D$37&lt;&gt;"",$D$37,IF((IF(E63="",IF($D$35="",0,$D$35),E63))=0,0,E53/(IF(E63="",IF($D$35="",0,$D$35),E63)))))))*(IF(E63="",IF($D$35="",0,$D$35),E63))))</f>
        <v/>
      </c>
      <c r="K87" s="75" t="str">
        <f aca="false">IF(I87="","",I87+J87)</f>
        <v/>
      </c>
      <c r="L87" s="75" t="str">
        <f aca="false">IF(F53="","",IF(1&gt;IF(F56="",10,F56),"",F53*(1+IF(F54="",0,F54))^ROUNDDOWN((1-1)/IF(F55="",5,F55),0)))</f>
        <v/>
      </c>
      <c r="M87" s="75" t="str">
        <f aca="false">IF(L87="","",IF((IF(F63="",IF($D$35="",0,$D$35),F63))=0,0,MAX(0,2743420.46-(IF(F64&lt;&gt;"",F64,IF($D$37&lt;&gt;"",$D$37,IF((IF(F63="",IF($D$35="",0,$D$35),F63))=0,0,F53/(IF(F63="",IF($D$35="",0,$D$35),F63)))))))*(IF(F63="",IF($D$35="",0,$D$35),F63))))</f>
        <v/>
      </c>
      <c r="N87" s="75" t="str">
        <f aca="false">IF(L87="","",L87+M87)</f>
        <v/>
      </c>
      <c r="O87" s="75" t="str">
        <f aca="false">IF(G53="","",IF(1&gt;IF(G56="",10,G56),"",G53*(1+IF(G54="",0,G54))^ROUNDDOWN((1-1)/IF(G55="",5,G55),0)))</f>
        <v/>
      </c>
      <c r="P87" s="75" t="str">
        <f aca="false">IF(O87="","",IF((IF(G63="",IF($D$35="",0,$D$35),G63))=0,0,MAX(0,2743420.46-(IF(G64&lt;&gt;"",G64,IF($D$37&lt;&gt;"",$D$37,IF((IF(G63="",IF($D$35="",0,$D$35),G63))=0,0,G53/(IF(G63="",IF($D$35="",0,$D$35),G63)))))))*(IF(G63="",IF($D$35="",0,$D$35),G63))))</f>
        <v/>
      </c>
      <c r="Q87" s="75" t="str">
        <f aca="false">IF(O87="","",O87+P87)</f>
        <v/>
      </c>
      <c r="R87" s="75" t="str">
        <f aca="false">IF(H53="","",IF(1&gt;IF(H56="",10,H56),"",H53*(1+IF(H54="",0,H54))^ROUNDDOWN((1-1)/IF(H55="",5,H55),0)))</f>
        <v/>
      </c>
      <c r="S87" s="75" t="str">
        <f aca="false">IF(R87="","",IF((IF(H63="",IF($D$35="",0,$D$35),H63))=0,0,MAX(0,2743420.46-(IF(H64&lt;&gt;"",H64,IF($D$37&lt;&gt;"",$D$37,IF((IF(H63="",IF($D$35="",0,$D$35),H63))=0,0,H53/(IF(H63="",IF($D$35="",0,$D$35),H63)))))))*(IF(H63="",IF($D$35="",0,$D$35),H63))))</f>
        <v/>
      </c>
      <c r="T87" s="75" t="str">
        <f aca="false">IF(R87="","",R87+S87)</f>
        <v/>
      </c>
    </row>
    <row r="88" customFormat="false" ht="15" hidden="false" customHeight="false" outlineLevel="0" collapsed="false">
      <c r="A88" s="74" t="n">
        <v>2</v>
      </c>
      <c r="B88" s="75" t="n">
        <v>2798289</v>
      </c>
      <c r="C88" s="76" t="n">
        <v>68130</v>
      </c>
      <c r="D88" s="76" t="n">
        <v>0</v>
      </c>
      <c r="E88" s="76" t="n">
        <v>68130</v>
      </c>
      <c r="F88" s="75" t="n">
        <f aca="false">IF(D53="","",IF(2&gt;IF(D56="",10,D56),"",D53*(1+IF(D54="",0,D54))^ROUNDDOWN((2-1)/IF(D55="",5,D55),0)))</f>
        <v>68130</v>
      </c>
      <c r="G88" s="75" t="n">
        <f aca="false">IF(F88="","",IF((IF(D63="",IF($D$35="",0,$D$35),D63))=0,0,MAX(0,2798288.87-(IF(D64&lt;&gt;"",D64,IF($D$37&lt;&gt;"",$D$37,IF((IF(D63="",IF($D$35="",0,$D$35),D63))=0,0,D53/(IF(D63="",IF($D$35="",0,$D$35),D63)))))))*(IF(D63="",IF($D$35="",0,$D$35),D63))))</f>
        <v>0</v>
      </c>
      <c r="H88" s="75" t="n">
        <f aca="false">IF(F88="","",F88+G88)</f>
        <v>68130</v>
      </c>
      <c r="I88" s="75" t="str">
        <f aca="false">IF(E53="","",IF(2&gt;IF(E56="",10,E56),"",E53*(1+IF(E54="",0,E54))^ROUNDDOWN((2-1)/IF(E55="",5,E55),0)))</f>
        <v/>
      </c>
      <c r="J88" s="75" t="str">
        <f aca="false">IF(I88="","",IF((IF(E63="",IF($D$35="",0,$D$35),E63))=0,0,MAX(0,2798288.87-(IF(E64&lt;&gt;"",E64,IF($D$37&lt;&gt;"",$D$37,IF((IF(E63="",IF($D$35="",0,$D$35),E63))=0,0,E53/(IF(E63="",IF($D$35="",0,$D$35),E63)))))))*(IF(E63="",IF($D$35="",0,$D$35),E63))))</f>
        <v/>
      </c>
      <c r="K88" s="75" t="str">
        <f aca="false">IF(I88="","",I88+J88)</f>
        <v/>
      </c>
      <c r="L88" s="75" t="str">
        <f aca="false">IF(F53="","",IF(2&gt;IF(F56="",10,F56),"",F53*(1+IF(F54="",0,F54))^ROUNDDOWN((2-1)/IF(F55="",5,F55),0)))</f>
        <v/>
      </c>
      <c r="M88" s="75" t="str">
        <f aca="false">IF(L88="","",IF((IF(F63="",IF($D$35="",0,$D$35),F63))=0,0,MAX(0,2798288.87-(IF(F64&lt;&gt;"",F64,IF($D$37&lt;&gt;"",$D$37,IF((IF(F63="",IF($D$35="",0,$D$35),F63))=0,0,F53/(IF(F63="",IF($D$35="",0,$D$35),F63)))))))*(IF(F63="",IF($D$35="",0,$D$35),F63))))</f>
        <v/>
      </c>
      <c r="N88" s="75" t="str">
        <f aca="false">IF(L88="","",L88+M88)</f>
        <v/>
      </c>
      <c r="O88" s="75" t="str">
        <f aca="false">IF(G53="","",IF(2&gt;IF(G56="",10,G56),"",G53*(1+IF(G54="",0,G54))^ROUNDDOWN((2-1)/IF(G55="",5,G55),0)))</f>
        <v/>
      </c>
      <c r="P88" s="75" t="str">
        <f aca="false">IF(O88="","",IF((IF(G63="",IF($D$35="",0,$D$35),G63))=0,0,MAX(0,2798288.87-(IF(G64&lt;&gt;"",G64,IF($D$37&lt;&gt;"",$D$37,IF((IF(G63="",IF($D$35="",0,$D$35),G63))=0,0,G53/(IF(G63="",IF($D$35="",0,$D$35),G63)))))))*(IF(G63="",IF($D$35="",0,$D$35),G63))))</f>
        <v/>
      </c>
      <c r="Q88" s="75" t="str">
        <f aca="false">IF(O88="","",O88+P88)</f>
        <v/>
      </c>
      <c r="R88" s="75" t="str">
        <f aca="false">IF(H53="","",IF(2&gt;IF(H56="",10,H56),"",H53*(1+IF(H54="",0,H54))^ROUNDDOWN((2-1)/IF(H55="",5,H55),0)))</f>
        <v/>
      </c>
      <c r="S88" s="75" t="str">
        <f aca="false">IF(R88="","",IF((IF(H63="",IF($D$35="",0,$D$35),H63))=0,0,MAX(0,2798288.87-(IF(H64&lt;&gt;"",H64,IF($D$37&lt;&gt;"",$D$37,IF((IF(H63="",IF($D$35="",0,$D$35),H63))=0,0,H53/(IF(H63="",IF($D$35="",0,$D$35),H63)))))))*(IF(H63="",IF($D$35="",0,$D$35),H63))))</f>
        <v/>
      </c>
      <c r="T88" s="75" t="str">
        <f aca="false">IF(R88="","",R88+S88)</f>
        <v/>
      </c>
    </row>
    <row r="89" customFormat="false" ht="15" hidden="false" customHeight="false" outlineLevel="0" collapsed="false">
      <c r="A89" s="74" t="n">
        <v>3</v>
      </c>
      <c r="B89" s="75" t="n">
        <v>2854255</v>
      </c>
      <c r="C89" s="76" t="n">
        <v>68130</v>
      </c>
      <c r="D89" s="76" t="n">
        <v>0</v>
      </c>
      <c r="E89" s="76" t="n">
        <v>68130</v>
      </c>
      <c r="F89" s="75" t="n">
        <f aca="false">IF(D53="","",IF(3&gt;IF(D56="",10,D56),"",D53*(1+IF(D54="",0,D54))^ROUNDDOWN((3-1)/IF(D55="",5,D55),0)))</f>
        <v>68130</v>
      </c>
      <c r="G89" s="75" t="n">
        <f aca="false">IF(F89="","",IF((IF(D63="",IF($D$35="",0,$D$35),D63))=0,0,MAX(0,2854254.65-(IF(D64&lt;&gt;"",D64,IF($D$37&lt;&gt;"",$D$37,IF((IF(D63="",IF($D$35="",0,$D$35),D63))=0,0,D53/(IF(D63="",IF($D$35="",0,$D$35),D63)))))))*(IF(D63="",IF($D$35="",0,$D$35),D63))))</f>
        <v>0</v>
      </c>
      <c r="H89" s="75" t="n">
        <f aca="false">IF(F89="","",F89+G89)</f>
        <v>68130</v>
      </c>
      <c r="I89" s="75" t="str">
        <f aca="false">IF(E53="","",IF(3&gt;IF(E56="",10,E56),"",E53*(1+IF(E54="",0,E54))^ROUNDDOWN((3-1)/IF(E55="",5,E55),0)))</f>
        <v/>
      </c>
      <c r="J89" s="75" t="str">
        <f aca="false">IF(I89="","",IF((IF(E63="",IF($D$35="",0,$D$35),E63))=0,0,MAX(0,2854254.65-(IF(E64&lt;&gt;"",E64,IF($D$37&lt;&gt;"",$D$37,IF((IF(E63="",IF($D$35="",0,$D$35),E63))=0,0,E53/(IF(E63="",IF($D$35="",0,$D$35),E63)))))))*(IF(E63="",IF($D$35="",0,$D$35),E63))))</f>
        <v/>
      </c>
      <c r="K89" s="75" t="str">
        <f aca="false">IF(I89="","",I89+J89)</f>
        <v/>
      </c>
      <c r="L89" s="75" t="str">
        <f aca="false">IF(F53="","",IF(3&gt;IF(F56="",10,F56),"",F53*(1+IF(F54="",0,F54))^ROUNDDOWN((3-1)/IF(F55="",5,F55),0)))</f>
        <v/>
      </c>
      <c r="M89" s="75" t="str">
        <f aca="false">IF(L89="","",IF((IF(F63="",IF($D$35="",0,$D$35),F63))=0,0,MAX(0,2854254.65-(IF(F64&lt;&gt;"",F64,IF($D$37&lt;&gt;"",$D$37,IF((IF(F63="",IF($D$35="",0,$D$35),F63))=0,0,F53/(IF(F63="",IF($D$35="",0,$D$35),F63)))))))*(IF(F63="",IF($D$35="",0,$D$35),F63))))</f>
        <v/>
      </c>
      <c r="N89" s="75" t="str">
        <f aca="false">IF(L89="","",L89+M89)</f>
        <v/>
      </c>
      <c r="O89" s="75" t="str">
        <f aca="false">IF(G53="","",IF(3&gt;IF(G56="",10,G56),"",G53*(1+IF(G54="",0,G54))^ROUNDDOWN((3-1)/IF(G55="",5,G55),0)))</f>
        <v/>
      </c>
      <c r="P89" s="75" t="str">
        <f aca="false">IF(O89="","",IF((IF(G63="",IF($D$35="",0,$D$35),G63))=0,0,MAX(0,2854254.65-(IF(G64&lt;&gt;"",G64,IF($D$37&lt;&gt;"",$D$37,IF((IF(G63="",IF($D$35="",0,$D$35),G63))=0,0,G53/(IF(G63="",IF($D$35="",0,$D$35),G63)))))))*(IF(G63="",IF($D$35="",0,$D$35),G63))))</f>
        <v/>
      </c>
      <c r="Q89" s="75" t="str">
        <f aca="false">IF(O89="","",O89+P89)</f>
        <v/>
      </c>
      <c r="R89" s="75" t="str">
        <f aca="false">IF(H53="","",IF(3&gt;IF(H56="",10,H56),"",H53*(1+IF(H54="",0,H54))^ROUNDDOWN((3-1)/IF(H55="",5,H55),0)))</f>
        <v/>
      </c>
      <c r="S89" s="75" t="str">
        <f aca="false">IF(R89="","",IF((IF(H63="",IF($D$35="",0,$D$35),H63))=0,0,MAX(0,2854254.65-(IF(H64&lt;&gt;"",H64,IF($D$37&lt;&gt;"",$D$37,IF((IF(H63="",IF($D$35="",0,$D$35),H63))=0,0,H53/(IF(H63="",IF($D$35="",0,$D$35),H63)))))))*(IF(H63="",IF($D$35="",0,$D$35),H63))))</f>
        <v/>
      </c>
      <c r="T89" s="75" t="str">
        <f aca="false">IF(R89="","",R89+S89)</f>
        <v/>
      </c>
    </row>
    <row r="90" customFormat="false" ht="15" hidden="false" customHeight="false" outlineLevel="0" collapsed="false">
      <c r="A90" s="74" t="n">
        <v>4</v>
      </c>
      <c r="B90" s="75" t="n">
        <v>2911340</v>
      </c>
      <c r="C90" s="76" t="n">
        <v>68130</v>
      </c>
      <c r="D90" s="76" t="n">
        <v>0</v>
      </c>
      <c r="E90" s="76" t="n">
        <v>68130</v>
      </c>
      <c r="F90" s="75" t="n">
        <f aca="false">IF(D53="","",IF(4&gt;IF(D56="",10,D56),"",D53*(1+IF(D54="",0,D54))^ROUNDDOWN((4-1)/IF(D55="",5,D55),0)))</f>
        <v>68130</v>
      </c>
      <c r="G90" s="75" t="n">
        <f aca="false">IF(F90="","",IF((IF(D63="",IF($D$35="",0,$D$35),D63))=0,0,MAX(0,2911339.74-(IF(D64&lt;&gt;"",D64,IF($D$37&lt;&gt;"",$D$37,IF((IF(D63="",IF($D$35="",0,$D$35),D63))=0,0,D53/(IF(D63="",IF($D$35="",0,$D$35),D63)))))))*(IF(D63="",IF($D$35="",0,$D$35),D63))))</f>
        <v>0</v>
      </c>
      <c r="H90" s="75" t="n">
        <f aca="false">IF(F90="","",F90+G90)</f>
        <v>68130</v>
      </c>
      <c r="I90" s="75" t="str">
        <f aca="false">IF(E53="","",IF(4&gt;IF(E56="",10,E56),"",E53*(1+IF(E54="",0,E54))^ROUNDDOWN((4-1)/IF(E55="",5,E55),0)))</f>
        <v/>
      </c>
      <c r="J90" s="75" t="str">
        <f aca="false">IF(I90="","",IF((IF(E63="",IF($D$35="",0,$D$35),E63))=0,0,MAX(0,2911339.74-(IF(E64&lt;&gt;"",E64,IF($D$37&lt;&gt;"",$D$37,IF((IF(E63="",IF($D$35="",0,$D$35),E63))=0,0,E53/(IF(E63="",IF($D$35="",0,$D$35),E63)))))))*(IF(E63="",IF($D$35="",0,$D$35),E63))))</f>
        <v/>
      </c>
      <c r="K90" s="75" t="str">
        <f aca="false">IF(I90="","",I90+J90)</f>
        <v/>
      </c>
      <c r="L90" s="75" t="str">
        <f aca="false">IF(F53="","",IF(4&gt;IF(F56="",10,F56),"",F53*(1+IF(F54="",0,F54))^ROUNDDOWN((4-1)/IF(F55="",5,F55),0)))</f>
        <v/>
      </c>
      <c r="M90" s="75" t="str">
        <f aca="false">IF(L90="","",IF((IF(F63="",IF($D$35="",0,$D$35),F63))=0,0,MAX(0,2911339.74-(IF(F64&lt;&gt;"",F64,IF($D$37&lt;&gt;"",$D$37,IF((IF(F63="",IF($D$35="",0,$D$35),F63))=0,0,F53/(IF(F63="",IF($D$35="",0,$D$35),F63)))))))*(IF(F63="",IF($D$35="",0,$D$35),F63))))</f>
        <v/>
      </c>
      <c r="N90" s="75" t="str">
        <f aca="false">IF(L90="","",L90+M90)</f>
        <v/>
      </c>
      <c r="O90" s="75" t="str">
        <f aca="false">IF(G53="","",IF(4&gt;IF(G56="",10,G56),"",G53*(1+IF(G54="",0,G54))^ROUNDDOWN((4-1)/IF(G55="",5,G55),0)))</f>
        <v/>
      </c>
      <c r="P90" s="75" t="str">
        <f aca="false">IF(O90="","",IF((IF(G63="",IF($D$35="",0,$D$35),G63))=0,0,MAX(0,2911339.74-(IF(G64&lt;&gt;"",G64,IF($D$37&lt;&gt;"",$D$37,IF((IF(G63="",IF($D$35="",0,$D$35),G63))=0,0,G53/(IF(G63="",IF($D$35="",0,$D$35),G63)))))))*(IF(G63="",IF($D$35="",0,$D$35),G63))))</f>
        <v/>
      </c>
      <c r="Q90" s="75" t="str">
        <f aca="false">IF(O90="","",O90+P90)</f>
        <v/>
      </c>
      <c r="R90" s="75" t="str">
        <f aca="false">IF(H53="","",IF(4&gt;IF(H56="",10,H56),"",H53*(1+IF(H54="",0,H54))^ROUNDDOWN((4-1)/IF(H55="",5,H55),0)))</f>
        <v/>
      </c>
      <c r="S90" s="75" t="str">
        <f aca="false">IF(R90="","",IF((IF(H63="",IF($D$35="",0,$D$35),H63))=0,0,MAX(0,2911339.74-(IF(H64&lt;&gt;"",H64,IF($D$37&lt;&gt;"",$D$37,IF((IF(H63="",IF($D$35="",0,$D$35),H63))=0,0,H53/(IF(H63="",IF($D$35="",0,$D$35),H63)))))))*(IF(H63="",IF($D$35="",0,$D$35),H63))))</f>
        <v/>
      </c>
      <c r="T90" s="75" t="str">
        <f aca="false">IF(R90="","",R90+S90)</f>
        <v/>
      </c>
    </row>
    <row r="91" customFormat="false" ht="15" hidden="false" customHeight="false" outlineLevel="0" collapsed="false">
      <c r="A91" s="74" t="n">
        <v>5</v>
      </c>
      <c r="B91" s="75" t="n">
        <v>2969567</v>
      </c>
      <c r="C91" s="76" t="n">
        <v>68130</v>
      </c>
      <c r="D91" s="76" t="n">
        <v>0</v>
      </c>
      <c r="E91" s="76" t="n">
        <v>68130</v>
      </c>
      <c r="F91" s="75" t="n">
        <f aca="false">IF(D53="","",IF(5&gt;IF(D56="",10,D56),"",D53*(1+IF(D54="",0,D54))^ROUNDDOWN((5-1)/IF(D55="",5,D55),0)))</f>
        <v>68130</v>
      </c>
      <c r="G91" s="75" t="n">
        <f aca="false">IF(F91="","",IF((IF(D63="",IF($D$35="",0,$D$35),D63))=0,0,MAX(0,2969566.53-(IF(D64&lt;&gt;"",D64,IF($D$37&lt;&gt;"",$D$37,IF((IF(D63="",IF($D$35="",0,$D$35),D63))=0,0,D53/(IF(D63="",IF($D$35="",0,$D$35),D63)))))))*(IF(D63="",IF($D$35="",0,$D$35),D63))))</f>
        <v>0</v>
      </c>
      <c r="H91" s="75" t="n">
        <f aca="false">IF(F91="","",F91+G91)</f>
        <v>68130</v>
      </c>
      <c r="I91" s="75" t="str">
        <f aca="false">IF(E53="","",IF(5&gt;IF(E56="",10,E56),"",E53*(1+IF(E54="",0,E54))^ROUNDDOWN((5-1)/IF(E55="",5,E55),0)))</f>
        <v/>
      </c>
      <c r="J91" s="75" t="str">
        <f aca="false">IF(I91="","",IF((IF(E63="",IF($D$35="",0,$D$35),E63))=0,0,MAX(0,2969566.53-(IF(E64&lt;&gt;"",E64,IF($D$37&lt;&gt;"",$D$37,IF((IF(E63="",IF($D$35="",0,$D$35),E63))=0,0,E53/(IF(E63="",IF($D$35="",0,$D$35),E63)))))))*(IF(E63="",IF($D$35="",0,$D$35),E63))))</f>
        <v/>
      </c>
      <c r="K91" s="75" t="str">
        <f aca="false">IF(I91="","",I91+J91)</f>
        <v/>
      </c>
      <c r="L91" s="75" t="str">
        <f aca="false">IF(F53="","",IF(5&gt;IF(F56="",10,F56),"",F53*(1+IF(F54="",0,F54))^ROUNDDOWN((5-1)/IF(F55="",5,F55),0)))</f>
        <v/>
      </c>
      <c r="M91" s="75" t="str">
        <f aca="false">IF(L91="","",IF((IF(F63="",IF($D$35="",0,$D$35),F63))=0,0,MAX(0,2969566.53-(IF(F64&lt;&gt;"",F64,IF($D$37&lt;&gt;"",$D$37,IF((IF(F63="",IF($D$35="",0,$D$35),F63))=0,0,F53/(IF(F63="",IF($D$35="",0,$D$35),F63)))))))*(IF(F63="",IF($D$35="",0,$D$35),F63))))</f>
        <v/>
      </c>
      <c r="N91" s="75" t="str">
        <f aca="false">IF(L91="","",L91+M91)</f>
        <v/>
      </c>
      <c r="O91" s="75" t="str">
        <f aca="false">IF(G53="","",IF(5&gt;IF(G56="",10,G56),"",G53*(1+IF(G54="",0,G54))^ROUNDDOWN((5-1)/IF(G55="",5,G55),0)))</f>
        <v/>
      </c>
      <c r="P91" s="75" t="str">
        <f aca="false">IF(O91="","",IF((IF(G63="",IF($D$35="",0,$D$35),G63))=0,0,MAX(0,2969566.53-(IF(G64&lt;&gt;"",G64,IF($D$37&lt;&gt;"",$D$37,IF((IF(G63="",IF($D$35="",0,$D$35),G63))=0,0,G53/(IF(G63="",IF($D$35="",0,$D$35),G63)))))))*(IF(G63="",IF($D$35="",0,$D$35),G63))))</f>
        <v/>
      </c>
      <c r="Q91" s="75" t="str">
        <f aca="false">IF(O91="","",O91+P91)</f>
        <v/>
      </c>
      <c r="R91" s="75" t="str">
        <f aca="false">IF(H53="","",IF(5&gt;IF(H56="",10,H56),"",H53*(1+IF(H54="",0,H54))^ROUNDDOWN((5-1)/IF(H55="",5,H55),0)))</f>
        <v/>
      </c>
      <c r="S91" s="75" t="str">
        <f aca="false">IF(R91="","",IF((IF(H63="",IF($D$35="",0,$D$35),H63))=0,0,MAX(0,2969566.53-(IF(H64&lt;&gt;"",H64,IF($D$37&lt;&gt;"",$D$37,IF((IF(H63="",IF($D$35="",0,$D$35),H63))=0,0,H53/(IF(H63="",IF($D$35="",0,$D$35),H63)))))))*(IF(H63="",IF($D$35="",0,$D$35),H63))))</f>
        <v/>
      </c>
      <c r="T91" s="75" t="str">
        <f aca="false">IF(R91="","",R91+S91)</f>
        <v/>
      </c>
    </row>
    <row r="92" customFormat="false" ht="15" hidden="false" customHeight="false" outlineLevel="0" collapsed="false">
      <c r="A92" s="74" t="n">
        <v>6</v>
      </c>
      <c r="B92" s="75" t="n">
        <v>3028958</v>
      </c>
      <c r="C92" s="76" t="n">
        <v>74942</v>
      </c>
      <c r="D92" s="76" t="n">
        <v>0</v>
      </c>
      <c r="E92" s="76" t="n">
        <v>74942</v>
      </c>
      <c r="F92" s="75" t="n">
        <f aca="false">IF(D53="","",IF(6&gt;IF(D56="",10,D56),"",D53*(1+IF(D54="",0,D54))^ROUNDDOWN((6-1)/IF(D55="",5,D55),0)))</f>
        <v>69492.6</v>
      </c>
      <c r="G92" s="75" t="n">
        <f aca="false">IF(F92="","",IF((IF(D63="",IF($D$35="",0,$D$35),D63))=0,0,MAX(0,3028957.86-(IF(D64&lt;&gt;"",D64,IF($D$37&lt;&gt;"",$D$37,IF((IF(D63="",IF($D$35="",0,$D$35),D63))=0,0,D53/(IF(D63="",IF($D$35="",0,$D$35),D63)))))))*(IF(D63="",IF($D$35="",0,$D$35),D63))))</f>
        <v>0</v>
      </c>
      <c r="H92" s="75" t="n">
        <f aca="false">IF(F92="","",F92+G92)</f>
        <v>69492.6</v>
      </c>
      <c r="I92" s="75" t="str">
        <f aca="false">IF(E53="","",IF(6&gt;IF(E56="",10,E56),"",E53*(1+IF(E54="",0,E54))^ROUNDDOWN((6-1)/IF(E55="",5,E55),0)))</f>
        <v/>
      </c>
      <c r="J92" s="75" t="str">
        <f aca="false">IF(I92="","",IF((IF(E63="",IF($D$35="",0,$D$35),E63))=0,0,MAX(0,3028957.86-(IF(E64&lt;&gt;"",E64,IF($D$37&lt;&gt;"",$D$37,IF((IF(E63="",IF($D$35="",0,$D$35),E63))=0,0,E53/(IF(E63="",IF($D$35="",0,$D$35),E63)))))))*(IF(E63="",IF($D$35="",0,$D$35),E63))))</f>
        <v/>
      </c>
      <c r="K92" s="75" t="str">
        <f aca="false">IF(I92="","",I92+J92)</f>
        <v/>
      </c>
      <c r="L92" s="75" t="str">
        <f aca="false">IF(F53="","",IF(6&gt;IF(F56="",10,F56),"",F53*(1+IF(F54="",0,F54))^ROUNDDOWN((6-1)/IF(F55="",5,F55),0)))</f>
        <v/>
      </c>
      <c r="M92" s="75" t="str">
        <f aca="false">IF(L92="","",IF((IF(F63="",IF($D$35="",0,$D$35),F63))=0,0,MAX(0,3028957.86-(IF(F64&lt;&gt;"",F64,IF($D$37&lt;&gt;"",$D$37,IF((IF(F63="",IF($D$35="",0,$D$35),F63))=0,0,F53/(IF(F63="",IF($D$35="",0,$D$35),F63)))))))*(IF(F63="",IF($D$35="",0,$D$35),F63))))</f>
        <v/>
      </c>
      <c r="N92" s="75" t="str">
        <f aca="false">IF(L92="","",L92+M92)</f>
        <v/>
      </c>
      <c r="O92" s="75" t="str">
        <f aca="false">IF(G53="","",IF(6&gt;IF(G56="",10,G56),"",G53*(1+IF(G54="",0,G54))^ROUNDDOWN((6-1)/IF(G55="",5,G55),0)))</f>
        <v/>
      </c>
      <c r="P92" s="75" t="str">
        <f aca="false">IF(O92="","",IF((IF(G63="",IF($D$35="",0,$D$35),G63))=0,0,MAX(0,3028957.86-(IF(G64&lt;&gt;"",G64,IF($D$37&lt;&gt;"",$D$37,IF((IF(G63="",IF($D$35="",0,$D$35),G63))=0,0,G53/(IF(G63="",IF($D$35="",0,$D$35),G63)))))))*(IF(G63="",IF($D$35="",0,$D$35),G63))))</f>
        <v/>
      </c>
      <c r="Q92" s="75" t="str">
        <f aca="false">IF(O92="","",O92+P92)</f>
        <v/>
      </c>
      <c r="R92" s="75" t="str">
        <f aca="false">IF(H53="","",IF(6&gt;IF(H56="",10,H56),"",H53*(1+IF(H54="",0,H54))^ROUNDDOWN((6-1)/IF(H55="",5,H55),0)))</f>
        <v/>
      </c>
      <c r="S92" s="75" t="str">
        <f aca="false">IF(R92="","",IF((IF(H63="",IF($D$35="",0,$D$35),H63))=0,0,MAX(0,3028957.86-(IF(H64&lt;&gt;"",H64,IF($D$37&lt;&gt;"",$D$37,IF((IF(H63="",IF($D$35="",0,$D$35),H63))=0,0,H53/(IF(H63="",IF($D$35="",0,$D$35),H63)))))))*(IF(H63="",IF($D$35="",0,$D$35),H63))))</f>
        <v/>
      </c>
      <c r="T92" s="75" t="str">
        <f aca="false">IF(R92="","",R92+S92)</f>
        <v/>
      </c>
    </row>
    <row r="93" customFormat="false" ht="15" hidden="false" customHeight="false" outlineLevel="0" collapsed="false">
      <c r="A93" s="74" t="n">
        <v>7</v>
      </c>
      <c r="B93" s="75" t="n">
        <v>3089537</v>
      </c>
      <c r="C93" s="76" t="n">
        <v>74942</v>
      </c>
      <c r="D93" s="76" t="n">
        <v>0</v>
      </c>
      <c r="E93" s="76" t="n">
        <v>74942</v>
      </c>
      <c r="F93" s="75" t="n">
        <f aca="false">IF(D53="","",IF(7&gt;IF(D56="",10,D56),"",D53*(1+IF(D54="",0,D54))^ROUNDDOWN((7-1)/IF(D55="",5,D55),0)))</f>
        <v>69492.6</v>
      </c>
      <c r="G93" s="75" t="n">
        <f aca="false">IF(F93="","",IF((IF(D63="",IF($D$35="",0,$D$35),D63))=0,0,MAX(0,3089537.02-(IF(D64&lt;&gt;"",D64,IF($D$37&lt;&gt;"",$D$37,IF((IF(D63="",IF($D$35="",0,$D$35),D63))=0,0,D53/(IF(D63="",IF($D$35="",0,$D$35),D63)))))))*(IF(D63="",IF($D$35="",0,$D$35),D63))))</f>
        <v>0</v>
      </c>
      <c r="H93" s="75" t="n">
        <f aca="false">IF(F93="","",F93+G93)</f>
        <v>69492.6</v>
      </c>
      <c r="I93" s="75" t="str">
        <f aca="false">IF(E53="","",IF(7&gt;IF(E56="",10,E56),"",E53*(1+IF(E54="",0,E54))^ROUNDDOWN((7-1)/IF(E55="",5,E55),0)))</f>
        <v/>
      </c>
      <c r="J93" s="75" t="str">
        <f aca="false">IF(I93="","",IF((IF(E63="",IF($D$35="",0,$D$35),E63))=0,0,MAX(0,3089537.02-(IF(E64&lt;&gt;"",E64,IF($D$37&lt;&gt;"",$D$37,IF((IF(E63="",IF($D$35="",0,$D$35),E63))=0,0,E53/(IF(E63="",IF($D$35="",0,$D$35),E63)))))))*(IF(E63="",IF($D$35="",0,$D$35),E63))))</f>
        <v/>
      </c>
      <c r="K93" s="75" t="str">
        <f aca="false">IF(I93="","",I93+J93)</f>
        <v/>
      </c>
      <c r="L93" s="75" t="str">
        <f aca="false">IF(F53="","",IF(7&gt;IF(F56="",10,F56),"",F53*(1+IF(F54="",0,F54))^ROUNDDOWN((7-1)/IF(F55="",5,F55),0)))</f>
        <v/>
      </c>
      <c r="M93" s="75" t="str">
        <f aca="false">IF(L93="","",IF((IF(F63="",IF($D$35="",0,$D$35),F63))=0,0,MAX(0,3089537.02-(IF(F64&lt;&gt;"",F64,IF($D$37&lt;&gt;"",$D$37,IF((IF(F63="",IF($D$35="",0,$D$35),F63))=0,0,F53/(IF(F63="",IF($D$35="",0,$D$35),F63)))))))*(IF(F63="",IF($D$35="",0,$D$35),F63))))</f>
        <v/>
      </c>
      <c r="N93" s="75" t="str">
        <f aca="false">IF(L93="","",L93+M93)</f>
        <v/>
      </c>
      <c r="O93" s="75" t="str">
        <f aca="false">IF(G53="","",IF(7&gt;IF(G56="",10,G56),"",G53*(1+IF(G54="",0,G54))^ROUNDDOWN((7-1)/IF(G55="",5,G55),0)))</f>
        <v/>
      </c>
      <c r="P93" s="75" t="str">
        <f aca="false">IF(O93="","",IF((IF(G63="",IF($D$35="",0,$D$35),G63))=0,0,MAX(0,3089537.02-(IF(G64&lt;&gt;"",G64,IF($D$37&lt;&gt;"",$D$37,IF((IF(G63="",IF($D$35="",0,$D$35),G63))=0,0,G53/(IF(G63="",IF($D$35="",0,$D$35),G63)))))))*(IF(G63="",IF($D$35="",0,$D$35),G63))))</f>
        <v/>
      </c>
      <c r="Q93" s="75" t="str">
        <f aca="false">IF(O93="","",O93+P93)</f>
        <v/>
      </c>
      <c r="R93" s="75" t="str">
        <f aca="false">IF(H53="","",IF(7&gt;IF(H56="",10,H56),"",H53*(1+IF(H54="",0,H54))^ROUNDDOWN((7-1)/IF(H55="",5,H55),0)))</f>
        <v/>
      </c>
      <c r="S93" s="75" t="str">
        <f aca="false">IF(R93="","",IF((IF(H63="",IF($D$35="",0,$D$35),H63))=0,0,MAX(0,3089537.02-(IF(H64&lt;&gt;"",H64,IF($D$37&lt;&gt;"",$D$37,IF((IF(H63="",IF($D$35="",0,$D$35),H63))=0,0,H53/(IF(H63="",IF($D$35="",0,$D$35),H63)))))))*(IF(H63="",IF($D$35="",0,$D$35),H63))))</f>
        <v/>
      </c>
      <c r="T93" s="75" t="str">
        <f aca="false">IF(R93="","",R93+S93)</f>
        <v/>
      </c>
    </row>
    <row r="94" customFormat="false" ht="15" hidden="false" customHeight="false" outlineLevel="0" collapsed="false">
      <c r="A94" s="74" t="n">
        <v>8</v>
      </c>
      <c r="B94" s="75" t="n">
        <v>3151328</v>
      </c>
      <c r="C94" s="76" t="n">
        <v>74942</v>
      </c>
      <c r="D94" s="76" t="n">
        <v>0</v>
      </c>
      <c r="E94" s="76" t="n">
        <v>74942</v>
      </c>
      <c r="F94" s="75" t="n">
        <f aca="false">IF(D53="","",IF(8&gt;IF(D56="",10,D56),"",D53*(1+IF(D54="",0,D54))^ROUNDDOWN((8-1)/IF(D55="",5,D55),0)))</f>
        <v>69492.6</v>
      </c>
      <c r="G94" s="75" t="n">
        <f aca="false">IF(F94="","",IF((IF(D63="",IF($D$35="",0,$D$35),D63))=0,0,MAX(0,3151327.76-(IF(D64&lt;&gt;"",D64,IF($D$37&lt;&gt;"",$D$37,IF((IF(D63="",IF($D$35="",0,$D$35),D63))=0,0,D53/(IF(D63="",IF($D$35="",0,$D$35),D63)))))))*(IF(D63="",IF($D$35="",0,$D$35),D63))))</f>
        <v>0</v>
      </c>
      <c r="H94" s="75" t="n">
        <f aca="false">IF(F94="","",F94+G94)</f>
        <v>69492.6</v>
      </c>
      <c r="I94" s="75" t="str">
        <f aca="false">IF(E53="","",IF(8&gt;IF(E56="",10,E56),"",E53*(1+IF(E54="",0,E54))^ROUNDDOWN((8-1)/IF(E55="",5,E55),0)))</f>
        <v/>
      </c>
      <c r="J94" s="75" t="str">
        <f aca="false">IF(I94="","",IF((IF(E63="",IF($D$35="",0,$D$35),E63))=0,0,MAX(0,3151327.76-(IF(E64&lt;&gt;"",E64,IF($D$37&lt;&gt;"",$D$37,IF((IF(E63="",IF($D$35="",0,$D$35),E63))=0,0,E53/(IF(E63="",IF($D$35="",0,$D$35),E63)))))))*(IF(E63="",IF($D$35="",0,$D$35),E63))))</f>
        <v/>
      </c>
      <c r="K94" s="75" t="str">
        <f aca="false">IF(I94="","",I94+J94)</f>
        <v/>
      </c>
      <c r="L94" s="75" t="str">
        <f aca="false">IF(F53="","",IF(8&gt;IF(F56="",10,F56),"",F53*(1+IF(F54="",0,F54))^ROUNDDOWN((8-1)/IF(F55="",5,F55),0)))</f>
        <v/>
      </c>
      <c r="M94" s="75" t="str">
        <f aca="false">IF(L94="","",IF((IF(F63="",IF($D$35="",0,$D$35),F63))=0,0,MAX(0,3151327.76-(IF(F64&lt;&gt;"",F64,IF($D$37&lt;&gt;"",$D$37,IF((IF(F63="",IF($D$35="",0,$D$35),F63))=0,0,F53/(IF(F63="",IF($D$35="",0,$D$35),F63)))))))*(IF(F63="",IF($D$35="",0,$D$35),F63))))</f>
        <v/>
      </c>
      <c r="N94" s="75" t="str">
        <f aca="false">IF(L94="","",L94+M94)</f>
        <v/>
      </c>
      <c r="O94" s="75" t="str">
        <f aca="false">IF(G53="","",IF(8&gt;IF(G56="",10,G56),"",G53*(1+IF(G54="",0,G54))^ROUNDDOWN((8-1)/IF(G55="",5,G55),0)))</f>
        <v/>
      </c>
      <c r="P94" s="75" t="str">
        <f aca="false">IF(O94="","",IF((IF(G63="",IF($D$35="",0,$D$35),G63))=0,0,MAX(0,3151327.76-(IF(G64&lt;&gt;"",G64,IF($D$37&lt;&gt;"",$D$37,IF((IF(G63="",IF($D$35="",0,$D$35),G63))=0,0,G53/(IF(G63="",IF($D$35="",0,$D$35),G63)))))))*(IF(G63="",IF($D$35="",0,$D$35),G63))))</f>
        <v/>
      </c>
      <c r="Q94" s="75" t="str">
        <f aca="false">IF(O94="","",O94+P94)</f>
        <v/>
      </c>
      <c r="R94" s="75" t="str">
        <f aca="false">IF(H53="","",IF(8&gt;IF(H56="",10,H56),"",H53*(1+IF(H54="",0,H54))^ROUNDDOWN((8-1)/IF(H55="",5,H55),0)))</f>
        <v/>
      </c>
      <c r="S94" s="75" t="str">
        <f aca="false">IF(R94="","",IF((IF(H63="",IF($D$35="",0,$D$35),H63))=0,0,MAX(0,3151327.76-(IF(H64&lt;&gt;"",H64,IF($D$37&lt;&gt;"",$D$37,IF((IF(H63="",IF($D$35="",0,$D$35),H63))=0,0,H53/(IF(H63="",IF($D$35="",0,$D$35),H63)))))))*(IF(H63="",IF($D$35="",0,$D$35),H63))))</f>
        <v/>
      </c>
      <c r="T94" s="75" t="str">
        <f aca="false">IF(R94="","",R94+S94)</f>
        <v/>
      </c>
    </row>
    <row r="95" customFormat="false" ht="15" hidden="false" customHeight="false" outlineLevel="0" collapsed="false">
      <c r="A95" s="74" t="n">
        <v>9</v>
      </c>
      <c r="B95" s="75" t="n">
        <v>3214354</v>
      </c>
      <c r="C95" s="76" t="n">
        <v>74942</v>
      </c>
      <c r="D95" s="76" t="n">
        <v>0</v>
      </c>
      <c r="E95" s="76" t="n">
        <v>74942</v>
      </c>
      <c r="F95" s="75" t="n">
        <f aca="false">IF(D53="","",IF(9&gt;IF(D56="",10,D56),"",D53*(1+IF(D54="",0,D54))^ROUNDDOWN((9-1)/IF(D55="",5,D55),0)))</f>
        <v>69492.6</v>
      </c>
      <c r="G95" s="75" t="n">
        <f aca="false">IF(F95="","",IF((IF(D63="",IF($D$35="",0,$D$35),D63))=0,0,MAX(0,3214354.32-(IF(D64&lt;&gt;"",D64,IF($D$37&lt;&gt;"",$D$37,IF((IF(D63="",IF($D$35="",0,$D$35),D63))=0,0,D53/(IF(D63="",IF($D$35="",0,$D$35),D63)))))))*(IF(D63="",IF($D$35="",0,$D$35),D63))))</f>
        <v>0</v>
      </c>
      <c r="H95" s="75" t="n">
        <f aca="false">IF(F95="","",F95+G95)</f>
        <v>69492.6</v>
      </c>
      <c r="I95" s="75" t="str">
        <f aca="false">IF(E53="","",IF(9&gt;IF(E56="",10,E56),"",E53*(1+IF(E54="",0,E54))^ROUNDDOWN((9-1)/IF(E55="",5,E55),0)))</f>
        <v/>
      </c>
      <c r="J95" s="75" t="str">
        <f aca="false">IF(I95="","",IF((IF(E63="",IF($D$35="",0,$D$35),E63))=0,0,MAX(0,3214354.32-(IF(E64&lt;&gt;"",E64,IF($D$37&lt;&gt;"",$D$37,IF((IF(E63="",IF($D$35="",0,$D$35),E63))=0,0,E53/(IF(E63="",IF($D$35="",0,$D$35),E63)))))))*(IF(E63="",IF($D$35="",0,$D$35),E63))))</f>
        <v/>
      </c>
      <c r="K95" s="75" t="str">
        <f aca="false">IF(I95="","",I95+J95)</f>
        <v/>
      </c>
      <c r="L95" s="75" t="str">
        <f aca="false">IF(F53="","",IF(9&gt;IF(F56="",10,F56),"",F53*(1+IF(F54="",0,F54))^ROUNDDOWN((9-1)/IF(F55="",5,F55),0)))</f>
        <v/>
      </c>
      <c r="M95" s="75" t="str">
        <f aca="false">IF(L95="","",IF((IF(F63="",IF($D$35="",0,$D$35),F63))=0,0,MAX(0,3214354.32-(IF(F64&lt;&gt;"",F64,IF($D$37&lt;&gt;"",$D$37,IF((IF(F63="",IF($D$35="",0,$D$35),F63))=0,0,F53/(IF(F63="",IF($D$35="",0,$D$35),F63)))))))*(IF(F63="",IF($D$35="",0,$D$35),F63))))</f>
        <v/>
      </c>
      <c r="N95" s="75" t="str">
        <f aca="false">IF(L95="","",L95+M95)</f>
        <v/>
      </c>
      <c r="O95" s="75" t="str">
        <f aca="false">IF(G53="","",IF(9&gt;IF(G56="",10,G56),"",G53*(1+IF(G54="",0,G54))^ROUNDDOWN((9-1)/IF(G55="",5,G55),0)))</f>
        <v/>
      </c>
      <c r="P95" s="75" t="str">
        <f aca="false">IF(O95="","",IF((IF(G63="",IF($D$35="",0,$D$35),G63))=0,0,MAX(0,3214354.32-(IF(G64&lt;&gt;"",G64,IF($D$37&lt;&gt;"",$D$37,IF((IF(G63="",IF($D$35="",0,$D$35),G63))=0,0,G53/(IF(G63="",IF($D$35="",0,$D$35),G63)))))))*(IF(G63="",IF($D$35="",0,$D$35),G63))))</f>
        <v/>
      </c>
      <c r="Q95" s="75" t="str">
        <f aca="false">IF(O95="","",O95+P95)</f>
        <v/>
      </c>
      <c r="R95" s="75" t="str">
        <f aca="false">IF(H53="","",IF(9&gt;IF(H56="",10,H56),"",H53*(1+IF(H54="",0,H54))^ROUNDDOWN((9-1)/IF(H55="",5,H55),0)))</f>
        <v/>
      </c>
      <c r="S95" s="75" t="str">
        <f aca="false">IF(R95="","",IF((IF(H63="",IF($D$35="",0,$D$35),H63))=0,0,MAX(0,3214354.32-(IF(H64&lt;&gt;"",H64,IF($D$37&lt;&gt;"",$D$37,IF((IF(H63="",IF($D$35="",0,$D$35),H63))=0,0,H53/(IF(H63="",IF($D$35="",0,$D$35),H63)))))))*(IF(H63="",IF($D$35="",0,$D$35),H63))))</f>
        <v/>
      </c>
      <c r="T95" s="75" t="str">
        <f aca="false">IF(R95="","",R95+S95)</f>
        <v/>
      </c>
    </row>
    <row r="96" customFormat="false" ht="15" hidden="false" customHeight="false" outlineLevel="0" collapsed="false">
      <c r="A96" s="74" t="n">
        <v>10</v>
      </c>
      <c r="B96" s="75" t="n">
        <v>3278641</v>
      </c>
      <c r="C96" s="76" t="n">
        <v>74942</v>
      </c>
      <c r="D96" s="76" t="n">
        <v>0</v>
      </c>
      <c r="E96" s="76" t="n">
        <v>74942</v>
      </c>
      <c r="F96" s="75" t="n">
        <f aca="false">IF(D53="","",IF(10&gt;IF(D56="",10,D56),"",D53*(1+IF(D54="",0,D54))^ROUNDDOWN((10-1)/IF(D55="",5,D55),0)))</f>
        <v>69492.6</v>
      </c>
      <c r="G96" s="75" t="n">
        <f aca="false">IF(F96="","",IF((IF(D63="",IF($D$35="",0,$D$35),D63))=0,0,MAX(0,3278641.4-(IF(D64&lt;&gt;"",D64,IF($D$37&lt;&gt;"",$D$37,IF((IF(D63="",IF($D$35="",0,$D$35),D63))=0,0,D53/(IF(D63="",IF($D$35="",0,$D$35),D63)))))))*(IF(D63="",IF($D$35="",0,$D$35),D63))))</f>
        <v>0</v>
      </c>
      <c r="H96" s="75" t="n">
        <f aca="false">IF(F96="","",F96+G96)</f>
        <v>69492.6</v>
      </c>
      <c r="I96" s="75" t="str">
        <f aca="false">IF(E53="","",IF(10&gt;IF(E56="",10,E56),"",E53*(1+IF(E54="",0,E54))^ROUNDDOWN((10-1)/IF(E55="",5,E55),0)))</f>
        <v/>
      </c>
      <c r="J96" s="75" t="str">
        <f aca="false">IF(I96="","",IF((IF(E63="",IF($D$35="",0,$D$35),E63))=0,0,MAX(0,3278641.4-(IF(E64&lt;&gt;"",E64,IF($D$37&lt;&gt;"",$D$37,IF((IF(E63="",IF($D$35="",0,$D$35),E63))=0,0,E53/(IF(E63="",IF($D$35="",0,$D$35),E63)))))))*(IF(E63="",IF($D$35="",0,$D$35),E63))))</f>
        <v/>
      </c>
      <c r="K96" s="75" t="str">
        <f aca="false">IF(I96="","",I96+J96)</f>
        <v/>
      </c>
      <c r="L96" s="75" t="str">
        <f aca="false">IF(F53="","",IF(10&gt;IF(F56="",10,F56),"",F53*(1+IF(F54="",0,F54))^ROUNDDOWN((10-1)/IF(F55="",5,F55),0)))</f>
        <v/>
      </c>
      <c r="M96" s="75" t="str">
        <f aca="false">IF(L96="","",IF((IF(F63="",IF($D$35="",0,$D$35),F63))=0,0,MAX(0,3278641.4-(IF(F64&lt;&gt;"",F64,IF($D$37&lt;&gt;"",$D$37,IF((IF(F63="",IF($D$35="",0,$D$35),F63))=0,0,F53/(IF(F63="",IF($D$35="",0,$D$35),F63)))))))*(IF(F63="",IF($D$35="",0,$D$35),F63))))</f>
        <v/>
      </c>
      <c r="N96" s="75" t="str">
        <f aca="false">IF(L96="","",L96+M96)</f>
        <v/>
      </c>
      <c r="O96" s="75" t="str">
        <f aca="false">IF(G53="","",IF(10&gt;IF(G56="",10,G56),"",G53*(1+IF(G54="",0,G54))^ROUNDDOWN((10-1)/IF(G55="",5,G55),0)))</f>
        <v/>
      </c>
      <c r="P96" s="75" t="str">
        <f aca="false">IF(O96="","",IF((IF(G63="",IF($D$35="",0,$D$35),G63))=0,0,MAX(0,3278641.4-(IF(G64&lt;&gt;"",G64,IF($D$37&lt;&gt;"",$D$37,IF((IF(G63="",IF($D$35="",0,$D$35),G63))=0,0,G53/(IF(G63="",IF($D$35="",0,$D$35),G63)))))))*(IF(G63="",IF($D$35="",0,$D$35),G63))))</f>
        <v/>
      </c>
      <c r="Q96" s="75" t="str">
        <f aca="false">IF(O96="","",O96+P96)</f>
        <v/>
      </c>
      <c r="R96" s="75" t="str">
        <f aca="false">IF(H53="","",IF(10&gt;IF(H56="",10,H56),"",H53*(1+IF(H54="",0,H54))^ROUNDDOWN((10-1)/IF(H55="",5,H55),0)))</f>
        <v/>
      </c>
      <c r="S96" s="75" t="str">
        <f aca="false">IF(R96="","",IF((IF(H63="",IF($D$35="",0,$D$35),H63))=0,0,MAX(0,3278641.4-(IF(H64&lt;&gt;"",H64,IF($D$37&lt;&gt;"",$D$37,IF((IF(H63="",IF($D$35="",0,$D$35),H63))=0,0,H53/(IF(H63="",IF($D$35="",0,$D$35),H63)))))))*(IF(H63="",IF($D$35="",0,$D$35),H63))))</f>
        <v/>
      </c>
      <c r="T96" s="75" t="str">
        <f aca="false">IF(R96="","",R96+S96)</f>
        <v/>
      </c>
    </row>
    <row r="97" customFormat="false" ht="15" hidden="false" customHeight="false" outlineLevel="0" collapsed="false">
      <c r="A97" s="74" t="n">
        <v>11</v>
      </c>
      <c r="B97" s="75" t="n">
        <v>3344214</v>
      </c>
      <c r="C97" s="76" t="n">
        <v>82437</v>
      </c>
      <c r="D97" s="76" t="n">
        <v>0</v>
      </c>
      <c r="E97" s="76" t="n">
        <v>82437</v>
      </c>
      <c r="F97" s="75" t="n">
        <f aca="false">IF(D53="","",IF(11&gt;IF(D56="",10,D56),"",D53*(1+IF(D54="",0,D54))^ROUNDDOWN((11-1)/IF(D55="",5,D55),0)))</f>
        <v>70882.452</v>
      </c>
      <c r="G97" s="75" t="n">
        <f aca="false">IF(F97="","",IF((IF(D63="",IF($D$35="",0,$D$35),D63))=0,0,MAX(0,3344214.23-(IF(D64&lt;&gt;"",D64,IF($D$37&lt;&gt;"",$D$37,IF((IF(D63="",IF($D$35="",0,$D$35),D63))=0,0,D53/(IF(D63="",IF($D$35="",0,$D$35),D63)))))))*(IF(D63="",IF($D$35="",0,$D$35),D63))))</f>
        <v>0</v>
      </c>
      <c r="H97" s="75" t="n">
        <f aca="false">IF(F97="","",F97+G97)</f>
        <v>70882.452</v>
      </c>
      <c r="I97" s="75" t="str">
        <f aca="false">IF(E53="","",IF(11&gt;IF(E56="",10,E56),"",E53*(1+IF(E54="",0,E54))^ROUNDDOWN((11-1)/IF(E55="",5,E55),0)))</f>
        <v/>
      </c>
      <c r="J97" s="75" t="str">
        <f aca="false">IF(I97="","",IF((IF(E63="",IF($D$35="",0,$D$35),E63))=0,0,MAX(0,3344214.23-(IF(E64&lt;&gt;"",E64,IF($D$37&lt;&gt;"",$D$37,IF((IF(E63="",IF($D$35="",0,$D$35),E63))=0,0,E53/(IF(E63="",IF($D$35="",0,$D$35),E63)))))))*(IF(E63="",IF($D$35="",0,$D$35),E63))))</f>
        <v/>
      </c>
      <c r="K97" s="75" t="str">
        <f aca="false">IF(I97="","",I97+J97)</f>
        <v/>
      </c>
      <c r="L97" s="75" t="str">
        <f aca="false">IF(F53="","",IF(11&gt;IF(F56="",10,F56),"",F53*(1+IF(F54="",0,F54))^ROUNDDOWN((11-1)/IF(F55="",5,F55),0)))</f>
        <v/>
      </c>
      <c r="M97" s="75" t="str">
        <f aca="false">IF(L97="","",IF((IF(F63="",IF($D$35="",0,$D$35),F63))=0,0,MAX(0,3344214.23-(IF(F64&lt;&gt;"",F64,IF($D$37&lt;&gt;"",$D$37,IF((IF(F63="",IF($D$35="",0,$D$35),F63))=0,0,F53/(IF(F63="",IF($D$35="",0,$D$35),F63)))))))*(IF(F63="",IF($D$35="",0,$D$35),F63))))</f>
        <v/>
      </c>
      <c r="N97" s="75" t="str">
        <f aca="false">IF(L97="","",L97+M97)</f>
        <v/>
      </c>
      <c r="O97" s="75" t="str">
        <f aca="false">IF(G53="","",IF(11&gt;IF(G56="",10,G56),"",G53*(1+IF(G54="",0,G54))^ROUNDDOWN((11-1)/IF(G55="",5,G55),0)))</f>
        <v/>
      </c>
      <c r="P97" s="75" t="str">
        <f aca="false">IF(O97="","",IF((IF(G63="",IF($D$35="",0,$D$35),G63))=0,0,MAX(0,3344214.23-(IF(G64&lt;&gt;"",G64,IF($D$37&lt;&gt;"",$D$37,IF((IF(G63="",IF($D$35="",0,$D$35),G63))=0,0,G53/(IF(G63="",IF($D$35="",0,$D$35),G63)))))))*(IF(G63="",IF($D$35="",0,$D$35),G63))))</f>
        <v/>
      </c>
      <c r="Q97" s="75" t="str">
        <f aca="false">IF(O97="","",O97+P97)</f>
        <v/>
      </c>
      <c r="R97" s="75" t="str">
        <f aca="false">IF(H53="","",IF(11&gt;IF(H56="",10,H56),"",H53*(1+IF(H54="",0,H54))^ROUNDDOWN((11-1)/IF(H55="",5,H55),0)))</f>
        <v/>
      </c>
      <c r="S97" s="75" t="str">
        <f aca="false">IF(R97="","",IF((IF(H63="",IF($D$35="",0,$D$35),H63))=0,0,MAX(0,3344214.23-(IF(H64&lt;&gt;"",H64,IF($D$37&lt;&gt;"",$D$37,IF((IF(H63="",IF($D$35="",0,$D$35),H63))=0,0,H53/(IF(H63="",IF($D$35="",0,$D$35),H63)))))))*(IF(H63="",IF($D$35="",0,$D$35),H63))))</f>
        <v/>
      </c>
      <c r="T97" s="75" t="str">
        <f aca="false">IF(R97="","",R97+S97)</f>
        <v/>
      </c>
    </row>
    <row r="98" customFormat="false" ht="15" hidden="false" customHeight="false" outlineLevel="0" collapsed="false">
      <c r="A98" s="74" t="n">
        <v>12</v>
      </c>
      <c r="B98" s="75" t="n">
        <v>3411099</v>
      </c>
      <c r="C98" s="76" t="n">
        <v>82437</v>
      </c>
      <c r="D98" s="76" t="n">
        <v>0</v>
      </c>
      <c r="E98" s="76" t="n">
        <v>82437</v>
      </c>
      <c r="F98" s="75" t="n">
        <f aca="false">IF(D53="","",IF(12&gt;IF(D56="",10,D56),"",D53*(1+IF(D54="",0,D54))^ROUNDDOWN((12-1)/IF(D55="",5,D55),0)))</f>
        <v>70882.452</v>
      </c>
      <c r="G98" s="75" t="n">
        <f aca="false">IF(F98="","",IF((IF(D63="",IF($D$35="",0,$D$35),D63))=0,0,MAX(0,3411098.52-(IF(D64&lt;&gt;"",D64,IF($D$37&lt;&gt;"",$D$37,IF((IF(D63="",IF($D$35="",0,$D$35),D63))=0,0,D53/(IF(D63="",IF($D$35="",0,$D$35),D63)))))))*(IF(D63="",IF($D$35="",0,$D$35),D63))))</f>
        <v>0</v>
      </c>
      <c r="H98" s="75" t="n">
        <f aca="false">IF(F98="","",F98+G98)</f>
        <v>70882.452</v>
      </c>
      <c r="I98" s="75" t="str">
        <f aca="false">IF(E53="","",IF(12&gt;IF(E56="",10,E56),"",E53*(1+IF(E54="",0,E54))^ROUNDDOWN((12-1)/IF(E55="",5,E55),0)))</f>
        <v/>
      </c>
      <c r="J98" s="75" t="str">
        <f aca="false">IF(I98="","",IF((IF(E63="",IF($D$35="",0,$D$35),E63))=0,0,MAX(0,3411098.52-(IF(E64&lt;&gt;"",E64,IF($D$37&lt;&gt;"",$D$37,IF((IF(E63="",IF($D$35="",0,$D$35),E63))=0,0,E53/(IF(E63="",IF($D$35="",0,$D$35),E63)))))))*(IF(E63="",IF($D$35="",0,$D$35),E63))))</f>
        <v/>
      </c>
      <c r="K98" s="75" t="str">
        <f aca="false">IF(I98="","",I98+J98)</f>
        <v/>
      </c>
      <c r="L98" s="75" t="str">
        <f aca="false">IF(F53="","",IF(12&gt;IF(F56="",10,F56),"",F53*(1+IF(F54="",0,F54))^ROUNDDOWN((12-1)/IF(F55="",5,F55),0)))</f>
        <v/>
      </c>
      <c r="M98" s="75" t="str">
        <f aca="false">IF(L98="","",IF((IF(F63="",IF($D$35="",0,$D$35),F63))=0,0,MAX(0,3411098.52-(IF(F64&lt;&gt;"",F64,IF($D$37&lt;&gt;"",$D$37,IF((IF(F63="",IF($D$35="",0,$D$35),F63))=0,0,F53/(IF(F63="",IF($D$35="",0,$D$35),F63)))))))*(IF(F63="",IF($D$35="",0,$D$35),F63))))</f>
        <v/>
      </c>
      <c r="N98" s="75" t="str">
        <f aca="false">IF(L98="","",L98+M98)</f>
        <v/>
      </c>
      <c r="O98" s="75" t="str">
        <f aca="false">IF(G53="","",IF(12&gt;IF(G56="",10,G56),"",G53*(1+IF(G54="",0,G54))^ROUNDDOWN((12-1)/IF(G55="",5,G55),0)))</f>
        <v/>
      </c>
      <c r="P98" s="75" t="str">
        <f aca="false">IF(O98="","",IF((IF(G63="",IF($D$35="",0,$D$35),G63))=0,0,MAX(0,3411098.52-(IF(G64&lt;&gt;"",G64,IF($D$37&lt;&gt;"",$D$37,IF((IF(G63="",IF($D$35="",0,$D$35),G63))=0,0,G53/(IF(G63="",IF($D$35="",0,$D$35),G63)))))))*(IF(G63="",IF($D$35="",0,$D$35),G63))))</f>
        <v/>
      </c>
      <c r="Q98" s="75" t="str">
        <f aca="false">IF(O98="","",O98+P98)</f>
        <v/>
      </c>
      <c r="R98" s="75" t="str">
        <f aca="false">IF(H53="","",IF(12&gt;IF(H56="",10,H56),"",H53*(1+IF(H54="",0,H54))^ROUNDDOWN((12-1)/IF(H55="",5,H55),0)))</f>
        <v/>
      </c>
      <c r="S98" s="75" t="str">
        <f aca="false">IF(R98="","",IF((IF(H63="",IF($D$35="",0,$D$35),H63))=0,0,MAX(0,3411098.52-(IF(H64&lt;&gt;"",H64,IF($D$37&lt;&gt;"",$D$37,IF((IF(H63="",IF($D$35="",0,$D$35),H63))=0,0,H53/(IF(H63="",IF($D$35="",0,$D$35),H63)))))))*(IF(H63="",IF($D$35="",0,$D$35),H63))))</f>
        <v/>
      </c>
      <c r="T98" s="75" t="str">
        <f aca="false">IF(R98="","",R98+S98)</f>
        <v/>
      </c>
    </row>
    <row r="99" customFormat="false" ht="15" hidden="false" customHeight="false" outlineLevel="0" collapsed="false">
      <c r="A99" s="74" t="n">
        <v>13</v>
      </c>
      <c r="B99" s="75" t="n">
        <v>3479320</v>
      </c>
      <c r="C99" s="76" t="n">
        <v>82437</v>
      </c>
      <c r="D99" s="76" t="n">
        <v>0</v>
      </c>
      <c r="E99" s="76" t="n">
        <v>82437</v>
      </c>
      <c r="F99" s="75" t="n">
        <f aca="false">IF(D53="","",IF(13&gt;IF(D56="",10,D56),"",D53*(1+IF(D54="",0,D54))^ROUNDDOWN((13-1)/IF(D55="",5,D55),0)))</f>
        <v>70882.452</v>
      </c>
      <c r="G99" s="75" t="n">
        <f aca="false">IF(F99="","",IF((IF(D63="",IF($D$35="",0,$D$35),D63))=0,0,MAX(0,3479320.49-(IF(D64&lt;&gt;"",D64,IF($D$37&lt;&gt;"",$D$37,IF((IF(D63="",IF($D$35="",0,$D$35),D63))=0,0,D53/(IF(D63="",IF($D$35="",0,$D$35),D63)))))))*(IF(D63="",IF($D$35="",0,$D$35),D63))))</f>
        <v>0</v>
      </c>
      <c r="H99" s="75" t="n">
        <f aca="false">IF(F99="","",F99+G99)</f>
        <v>70882.452</v>
      </c>
      <c r="I99" s="75" t="str">
        <f aca="false">IF(E53="","",IF(13&gt;IF(E56="",10,E56),"",E53*(1+IF(E54="",0,E54))^ROUNDDOWN((13-1)/IF(E55="",5,E55),0)))</f>
        <v/>
      </c>
      <c r="J99" s="75" t="str">
        <f aca="false">IF(I99="","",IF((IF(E63="",IF($D$35="",0,$D$35),E63))=0,0,MAX(0,3479320.49-(IF(E64&lt;&gt;"",E64,IF($D$37&lt;&gt;"",$D$37,IF((IF(E63="",IF($D$35="",0,$D$35),E63))=0,0,E53/(IF(E63="",IF($D$35="",0,$D$35),E63)))))))*(IF(E63="",IF($D$35="",0,$D$35),E63))))</f>
        <v/>
      </c>
      <c r="K99" s="75" t="str">
        <f aca="false">IF(I99="","",I99+J99)</f>
        <v/>
      </c>
      <c r="L99" s="75" t="str">
        <f aca="false">IF(F53="","",IF(13&gt;IF(F56="",10,F56),"",F53*(1+IF(F54="",0,F54))^ROUNDDOWN((13-1)/IF(F55="",5,F55),0)))</f>
        <v/>
      </c>
      <c r="M99" s="75" t="str">
        <f aca="false">IF(L99="","",IF((IF(F63="",IF($D$35="",0,$D$35),F63))=0,0,MAX(0,3479320.49-(IF(F64&lt;&gt;"",F64,IF($D$37&lt;&gt;"",$D$37,IF((IF(F63="",IF($D$35="",0,$D$35),F63))=0,0,F53/(IF(F63="",IF($D$35="",0,$D$35),F63)))))))*(IF(F63="",IF($D$35="",0,$D$35),F63))))</f>
        <v/>
      </c>
      <c r="N99" s="75" t="str">
        <f aca="false">IF(L99="","",L99+M99)</f>
        <v/>
      </c>
      <c r="O99" s="75" t="str">
        <f aca="false">IF(G53="","",IF(13&gt;IF(G56="",10,G56),"",G53*(1+IF(G54="",0,G54))^ROUNDDOWN((13-1)/IF(G55="",5,G55),0)))</f>
        <v/>
      </c>
      <c r="P99" s="75" t="str">
        <f aca="false">IF(O99="","",IF((IF(G63="",IF($D$35="",0,$D$35),G63))=0,0,MAX(0,3479320.49-(IF(G64&lt;&gt;"",G64,IF($D$37&lt;&gt;"",$D$37,IF((IF(G63="",IF($D$35="",0,$D$35),G63))=0,0,G53/(IF(G63="",IF($D$35="",0,$D$35),G63)))))))*(IF(G63="",IF($D$35="",0,$D$35),G63))))</f>
        <v/>
      </c>
      <c r="Q99" s="75" t="str">
        <f aca="false">IF(O99="","",O99+P99)</f>
        <v/>
      </c>
      <c r="R99" s="75" t="str">
        <f aca="false">IF(H53="","",IF(13&gt;IF(H56="",10,H56),"",H53*(1+IF(H54="",0,H54))^ROUNDDOWN((13-1)/IF(H55="",5,H55),0)))</f>
        <v/>
      </c>
      <c r="S99" s="75" t="str">
        <f aca="false">IF(R99="","",IF((IF(H63="",IF($D$35="",0,$D$35),H63))=0,0,MAX(0,3479320.49-(IF(H64&lt;&gt;"",H64,IF($D$37&lt;&gt;"",$D$37,IF((IF(H63="",IF($D$35="",0,$D$35),H63))=0,0,H53/(IF(H63="",IF($D$35="",0,$D$35),H63)))))))*(IF(H63="",IF($D$35="",0,$D$35),H63))))</f>
        <v/>
      </c>
      <c r="T99" s="75" t="str">
        <f aca="false">IF(R99="","",R99+S99)</f>
        <v/>
      </c>
    </row>
    <row r="100" customFormat="false" ht="15" hidden="false" customHeight="false" outlineLevel="0" collapsed="false">
      <c r="A100" s="74" t="n">
        <v>14</v>
      </c>
      <c r="B100" s="75" t="n">
        <v>3548907</v>
      </c>
      <c r="C100" s="76" t="n">
        <v>82437</v>
      </c>
      <c r="D100" s="76" t="n">
        <v>0</v>
      </c>
      <c r="E100" s="76" t="n">
        <v>82437</v>
      </c>
      <c r="F100" s="75" t="n">
        <f aca="false">IF(D53="","",IF(14&gt;IF(D56="",10,D56),"",D53*(1+IF(D54="",0,D54))^ROUNDDOWN((14-1)/IF(D55="",5,D55),0)))</f>
        <v>70882.452</v>
      </c>
      <c r="G100" s="75" t="n">
        <f aca="false">IF(F100="","",IF((IF(D63="",IF($D$35="",0,$D$35),D63))=0,0,MAX(0,3548906.9-(IF(D64&lt;&gt;"",D64,IF($D$37&lt;&gt;"",$D$37,IF((IF(D63="",IF($D$35="",0,$D$35),D63))=0,0,D53/(IF(D63="",IF($D$35="",0,$D$35),D63)))))))*(IF(D63="",IF($D$35="",0,$D$35),D63))))</f>
        <v>0</v>
      </c>
      <c r="H100" s="75" t="n">
        <f aca="false">IF(F100="","",F100+G100)</f>
        <v>70882.452</v>
      </c>
      <c r="I100" s="75" t="str">
        <f aca="false">IF(E53="","",IF(14&gt;IF(E56="",10,E56),"",E53*(1+IF(E54="",0,E54))^ROUNDDOWN((14-1)/IF(E55="",5,E55),0)))</f>
        <v/>
      </c>
      <c r="J100" s="75" t="str">
        <f aca="false">IF(I100="","",IF((IF(E63="",IF($D$35="",0,$D$35),E63))=0,0,MAX(0,3548906.9-(IF(E64&lt;&gt;"",E64,IF($D$37&lt;&gt;"",$D$37,IF((IF(E63="",IF($D$35="",0,$D$35),E63))=0,0,E53/(IF(E63="",IF($D$35="",0,$D$35),E63)))))))*(IF(E63="",IF($D$35="",0,$D$35),E63))))</f>
        <v/>
      </c>
      <c r="K100" s="75" t="str">
        <f aca="false">IF(I100="","",I100+J100)</f>
        <v/>
      </c>
      <c r="L100" s="75" t="str">
        <f aca="false">IF(F53="","",IF(14&gt;IF(F56="",10,F56),"",F53*(1+IF(F54="",0,F54))^ROUNDDOWN((14-1)/IF(F55="",5,F55),0)))</f>
        <v/>
      </c>
      <c r="M100" s="75" t="str">
        <f aca="false">IF(L100="","",IF((IF(F63="",IF($D$35="",0,$D$35),F63))=0,0,MAX(0,3548906.9-(IF(F64&lt;&gt;"",F64,IF($D$37&lt;&gt;"",$D$37,IF((IF(F63="",IF($D$35="",0,$D$35),F63))=0,0,F53/(IF(F63="",IF($D$35="",0,$D$35),F63)))))))*(IF(F63="",IF($D$35="",0,$D$35),F63))))</f>
        <v/>
      </c>
      <c r="N100" s="75" t="str">
        <f aca="false">IF(L100="","",L100+M100)</f>
        <v/>
      </c>
      <c r="O100" s="75" t="str">
        <f aca="false">IF(G53="","",IF(14&gt;IF(G56="",10,G56),"",G53*(1+IF(G54="",0,G54))^ROUNDDOWN((14-1)/IF(G55="",5,G55),0)))</f>
        <v/>
      </c>
      <c r="P100" s="75" t="str">
        <f aca="false">IF(O100="","",IF((IF(G63="",IF($D$35="",0,$D$35),G63))=0,0,MAX(0,3548906.9-(IF(G64&lt;&gt;"",G64,IF($D$37&lt;&gt;"",$D$37,IF((IF(G63="",IF($D$35="",0,$D$35),G63))=0,0,G53/(IF(G63="",IF($D$35="",0,$D$35),G63)))))))*(IF(G63="",IF($D$35="",0,$D$35),G63))))</f>
        <v/>
      </c>
      <c r="Q100" s="75" t="str">
        <f aca="false">IF(O100="","",O100+P100)</f>
        <v/>
      </c>
      <c r="R100" s="75" t="str">
        <f aca="false">IF(H53="","",IF(14&gt;IF(H56="",10,H56),"",H53*(1+IF(H54="",0,H54))^ROUNDDOWN((14-1)/IF(H55="",5,H55),0)))</f>
        <v/>
      </c>
      <c r="S100" s="75" t="str">
        <f aca="false">IF(R100="","",IF((IF(H63="",IF($D$35="",0,$D$35),H63))=0,0,MAX(0,3548906.9-(IF(H64&lt;&gt;"",H64,IF($D$37&lt;&gt;"",$D$37,IF((IF(H63="",IF($D$35="",0,$D$35),H63))=0,0,H53/(IF(H63="",IF($D$35="",0,$D$35),H63)))))))*(IF(H63="",IF($D$35="",0,$D$35),H63))))</f>
        <v/>
      </c>
      <c r="T100" s="75" t="str">
        <f aca="false">IF(R100="","",R100+S100)</f>
        <v/>
      </c>
    </row>
    <row r="101" customFormat="false" ht="15" hidden="false" customHeight="false" outlineLevel="0" collapsed="false">
      <c r="A101" s="74" t="n">
        <v>15</v>
      </c>
      <c r="B101" s="75" t="n">
        <v>3619885</v>
      </c>
      <c r="C101" s="76" t="n">
        <v>82437</v>
      </c>
      <c r="D101" s="76" t="n">
        <v>0</v>
      </c>
      <c r="E101" s="76" t="n">
        <v>82437</v>
      </c>
      <c r="F101" s="75" t="n">
        <f aca="false">IF(D53="","",IF(15&gt;IF(D56="",10,D56),"",D53*(1+IF(D54="",0,D54))^ROUNDDOWN((15-1)/IF(D55="",5,D55),0)))</f>
        <v>70882.452</v>
      </c>
      <c r="G101" s="75" t="n">
        <f aca="false">IF(F101="","",IF((IF(D63="",IF($D$35="",0,$D$35),D63))=0,0,MAX(0,3619885.04-(IF(D64&lt;&gt;"",D64,IF($D$37&lt;&gt;"",$D$37,IF((IF(D63="",IF($D$35="",0,$D$35),D63))=0,0,D53/(IF(D63="",IF($D$35="",0,$D$35),D63)))))))*(IF(D63="",IF($D$35="",0,$D$35),D63))))</f>
        <v>0</v>
      </c>
      <c r="H101" s="75" t="n">
        <f aca="false">IF(F101="","",F101+G101)</f>
        <v>70882.452</v>
      </c>
      <c r="I101" s="75" t="str">
        <f aca="false">IF(E53="","",IF(15&gt;IF(E56="",10,E56),"",E53*(1+IF(E54="",0,E54))^ROUNDDOWN((15-1)/IF(E55="",5,E55),0)))</f>
        <v/>
      </c>
      <c r="J101" s="75" t="str">
        <f aca="false">IF(I101="","",IF((IF(E63="",IF($D$35="",0,$D$35),E63))=0,0,MAX(0,3619885.04-(IF(E64&lt;&gt;"",E64,IF($D$37&lt;&gt;"",$D$37,IF((IF(E63="",IF($D$35="",0,$D$35),E63))=0,0,E53/(IF(E63="",IF($D$35="",0,$D$35),E63)))))))*(IF(E63="",IF($D$35="",0,$D$35),E63))))</f>
        <v/>
      </c>
      <c r="K101" s="75" t="str">
        <f aca="false">IF(I101="","",I101+J101)</f>
        <v/>
      </c>
      <c r="L101" s="75" t="str">
        <f aca="false">IF(F53="","",IF(15&gt;IF(F56="",10,F56),"",F53*(1+IF(F54="",0,F54))^ROUNDDOWN((15-1)/IF(F55="",5,F55),0)))</f>
        <v/>
      </c>
      <c r="M101" s="75" t="str">
        <f aca="false">IF(L101="","",IF((IF(F63="",IF($D$35="",0,$D$35),F63))=0,0,MAX(0,3619885.04-(IF(F64&lt;&gt;"",F64,IF($D$37&lt;&gt;"",$D$37,IF((IF(F63="",IF($D$35="",0,$D$35),F63))=0,0,F53/(IF(F63="",IF($D$35="",0,$D$35),F63)))))))*(IF(F63="",IF($D$35="",0,$D$35),F63))))</f>
        <v/>
      </c>
      <c r="N101" s="75" t="str">
        <f aca="false">IF(L101="","",L101+M101)</f>
        <v/>
      </c>
      <c r="O101" s="75" t="str">
        <f aca="false">IF(G53="","",IF(15&gt;IF(G56="",10,G56),"",G53*(1+IF(G54="",0,G54))^ROUNDDOWN((15-1)/IF(G55="",5,G55),0)))</f>
        <v/>
      </c>
      <c r="P101" s="75" t="str">
        <f aca="false">IF(O101="","",IF((IF(G63="",IF($D$35="",0,$D$35),G63))=0,0,MAX(0,3619885.04-(IF(G64&lt;&gt;"",G64,IF($D$37&lt;&gt;"",$D$37,IF((IF(G63="",IF($D$35="",0,$D$35),G63))=0,0,G53/(IF(G63="",IF($D$35="",0,$D$35),G63)))))))*(IF(G63="",IF($D$35="",0,$D$35),G63))))</f>
        <v/>
      </c>
      <c r="Q101" s="75" t="str">
        <f aca="false">IF(O101="","",O101+P101)</f>
        <v/>
      </c>
      <c r="R101" s="75" t="str">
        <f aca="false">IF(H53="","",IF(15&gt;IF(H56="",10,H56),"",H53*(1+IF(H54="",0,H54))^ROUNDDOWN((15-1)/IF(H55="",5,H55),0)))</f>
        <v/>
      </c>
      <c r="S101" s="75" t="str">
        <f aca="false">IF(R101="","",IF((IF(H63="",IF($D$35="",0,$D$35),H63))=0,0,MAX(0,3619885.04-(IF(H64&lt;&gt;"",H64,IF($D$37&lt;&gt;"",$D$37,IF((IF(H63="",IF($D$35="",0,$D$35),H63))=0,0,H53/(IF(H63="",IF($D$35="",0,$D$35),H63)))))))*(IF(H63="",IF($D$35="",0,$D$35),H63))))</f>
        <v/>
      </c>
      <c r="T101" s="75" t="str">
        <f aca="false">IF(R101="","",R101+S101)</f>
        <v/>
      </c>
    </row>
    <row r="102" customFormat="false" ht="15" hidden="false" customHeight="false" outlineLevel="0" collapsed="false">
      <c r="A102" s="74" t="n">
        <v>16</v>
      </c>
      <c r="B102" s="75" t="n">
        <v>3692283</v>
      </c>
      <c r="C102" s="76" t="n">
        <v>90680</v>
      </c>
      <c r="D102" s="76" t="n">
        <v>0</v>
      </c>
      <c r="E102" s="76" t="n">
        <v>90680</v>
      </c>
      <c r="F102" s="75" t="n">
        <f aca="false">IF(D53="","",IF(16&gt;IF(D56="",10,D56),"",D53*(1+IF(D54="",0,D54))^ROUNDDOWN((16-1)/IF(D55="",5,D55),0)))</f>
        <v>72300.10104</v>
      </c>
      <c r="G102" s="75" t="n">
        <f aca="false">IF(F102="","",IF((IF(D63="",IF($D$35="",0,$D$35),D63))=0,0,MAX(0,3692282.74-(IF(D64&lt;&gt;"",D64,IF($D$37&lt;&gt;"",$D$37,IF((IF(D63="",IF($D$35="",0,$D$35),D63))=0,0,D53/(IF(D63="",IF($D$35="",0,$D$35),D63)))))))*(IF(D63="",IF($D$35="",0,$D$35),D63))))</f>
        <v>0</v>
      </c>
      <c r="H102" s="75" t="n">
        <f aca="false">IF(F102="","",F102+G102)</f>
        <v>72300.10104</v>
      </c>
      <c r="I102" s="75" t="str">
        <f aca="false">IF(E53="","",IF(16&gt;IF(E56="",10,E56),"",E53*(1+IF(E54="",0,E54))^ROUNDDOWN((16-1)/IF(E55="",5,E55),0)))</f>
        <v/>
      </c>
      <c r="J102" s="75" t="str">
        <f aca="false">IF(I102="","",IF((IF(E63="",IF($D$35="",0,$D$35),E63))=0,0,MAX(0,3692282.74-(IF(E64&lt;&gt;"",E64,IF($D$37&lt;&gt;"",$D$37,IF((IF(E63="",IF($D$35="",0,$D$35),E63))=0,0,E53/(IF(E63="",IF($D$35="",0,$D$35),E63)))))))*(IF(E63="",IF($D$35="",0,$D$35),E63))))</f>
        <v/>
      </c>
      <c r="K102" s="75" t="str">
        <f aca="false">IF(I102="","",I102+J102)</f>
        <v/>
      </c>
      <c r="L102" s="75" t="str">
        <f aca="false">IF(F53="","",IF(16&gt;IF(F56="",10,F56),"",F53*(1+IF(F54="",0,F54))^ROUNDDOWN((16-1)/IF(F55="",5,F55),0)))</f>
        <v/>
      </c>
      <c r="M102" s="75" t="str">
        <f aca="false">IF(L102="","",IF((IF(F63="",IF($D$35="",0,$D$35),F63))=0,0,MAX(0,3692282.74-(IF(F64&lt;&gt;"",F64,IF($D$37&lt;&gt;"",$D$37,IF((IF(F63="",IF($D$35="",0,$D$35),F63))=0,0,F53/(IF(F63="",IF($D$35="",0,$D$35),F63)))))))*(IF(F63="",IF($D$35="",0,$D$35),F63))))</f>
        <v/>
      </c>
      <c r="N102" s="75" t="str">
        <f aca="false">IF(L102="","",L102+M102)</f>
        <v/>
      </c>
      <c r="O102" s="75" t="str">
        <f aca="false">IF(G53="","",IF(16&gt;IF(G56="",10,G56),"",G53*(1+IF(G54="",0,G54))^ROUNDDOWN((16-1)/IF(G55="",5,G55),0)))</f>
        <v/>
      </c>
      <c r="P102" s="75" t="str">
        <f aca="false">IF(O102="","",IF((IF(G63="",IF($D$35="",0,$D$35),G63))=0,0,MAX(0,3692282.74-(IF(G64&lt;&gt;"",G64,IF($D$37&lt;&gt;"",$D$37,IF((IF(G63="",IF($D$35="",0,$D$35),G63))=0,0,G53/(IF(G63="",IF($D$35="",0,$D$35),G63)))))))*(IF(G63="",IF($D$35="",0,$D$35),G63))))</f>
        <v/>
      </c>
      <c r="Q102" s="75" t="str">
        <f aca="false">IF(O102="","",O102+P102)</f>
        <v/>
      </c>
      <c r="R102" s="75" t="str">
        <f aca="false">IF(H53="","",IF(16&gt;IF(H56="",10,H56),"",H53*(1+IF(H54="",0,H54))^ROUNDDOWN((16-1)/IF(H55="",5,H55),0)))</f>
        <v/>
      </c>
      <c r="S102" s="75" t="str">
        <f aca="false">IF(R102="","",IF((IF(H63="",IF($D$35="",0,$D$35),H63))=0,0,MAX(0,3692282.74-(IF(H64&lt;&gt;"",H64,IF($D$37&lt;&gt;"",$D$37,IF((IF(H63="",IF($D$35="",0,$D$35),H63))=0,0,H53/(IF(H63="",IF($D$35="",0,$D$35),H63)))))))*(IF(H63="",IF($D$35="",0,$D$35),H63))))</f>
        <v/>
      </c>
      <c r="T102" s="75" t="str">
        <f aca="false">IF(R102="","",R102+S102)</f>
        <v/>
      </c>
    </row>
    <row r="103" customFormat="false" ht="15" hidden="false" customHeight="false" outlineLevel="0" collapsed="false">
      <c r="A103" s="74" t="n">
        <v>17</v>
      </c>
      <c r="B103" s="75" t="n">
        <v>3766128</v>
      </c>
      <c r="C103" s="76" t="n">
        <v>90680</v>
      </c>
      <c r="D103" s="76" t="n">
        <v>0</v>
      </c>
      <c r="E103" s="76" t="n">
        <v>90680</v>
      </c>
      <c r="F103" s="75" t="n">
        <f aca="false">IF(D53="","",IF(17&gt;IF(D56="",10,D56),"",D53*(1+IF(D54="",0,D54))^ROUNDDOWN((17-1)/IF(D55="",5,D55),0)))</f>
        <v>72300.10104</v>
      </c>
      <c r="G103" s="75" t="n">
        <f aca="false">IF(F103="","",IF((IF(D63="",IF($D$35="",0,$D$35),D63))=0,0,MAX(0,3766128.39-(IF(D64&lt;&gt;"",D64,IF($D$37&lt;&gt;"",$D$37,IF((IF(D63="",IF($D$35="",0,$D$35),D63))=0,0,D53/(IF(D63="",IF($D$35="",0,$D$35),D63)))))))*(IF(D63="",IF($D$35="",0,$D$35),D63))))</f>
        <v>0</v>
      </c>
      <c r="H103" s="75" t="n">
        <f aca="false">IF(F103="","",F103+G103)</f>
        <v>72300.10104</v>
      </c>
      <c r="I103" s="75" t="str">
        <f aca="false">IF(E53="","",IF(17&gt;IF(E56="",10,E56),"",E53*(1+IF(E54="",0,E54))^ROUNDDOWN((17-1)/IF(E55="",5,E55),0)))</f>
        <v/>
      </c>
      <c r="J103" s="75" t="str">
        <f aca="false">IF(I103="","",IF((IF(E63="",IF($D$35="",0,$D$35),E63))=0,0,MAX(0,3766128.39-(IF(E64&lt;&gt;"",E64,IF($D$37&lt;&gt;"",$D$37,IF((IF(E63="",IF($D$35="",0,$D$35),E63))=0,0,E53/(IF(E63="",IF($D$35="",0,$D$35),E63)))))))*(IF(E63="",IF($D$35="",0,$D$35),E63))))</f>
        <v/>
      </c>
      <c r="K103" s="75" t="str">
        <f aca="false">IF(I103="","",I103+J103)</f>
        <v/>
      </c>
      <c r="L103" s="75" t="str">
        <f aca="false">IF(F53="","",IF(17&gt;IF(F56="",10,F56),"",F53*(1+IF(F54="",0,F54))^ROUNDDOWN((17-1)/IF(F55="",5,F55),0)))</f>
        <v/>
      </c>
      <c r="M103" s="75" t="str">
        <f aca="false">IF(L103="","",IF((IF(F63="",IF($D$35="",0,$D$35),F63))=0,0,MAX(0,3766128.39-(IF(F64&lt;&gt;"",F64,IF($D$37&lt;&gt;"",$D$37,IF((IF(F63="",IF($D$35="",0,$D$35),F63))=0,0,F53/(IF(F63="",IF($D$35="",0,$D$35),F63)))))))*(IF(F63="",IF($D$35="",0,$D$35),F63))))</f>
        <v/>
      </c>
      <c r="N103" s="75" t="str">
        <f aca="false">IF(L103="","",L103+M103)</f>
        <v/>
      </c>
      <c r="O103" s="75" t="str">
        <f aca="false">IF(G53="","",IF(17&gt;IF(G56="",10,G56),"",G53*(1+IF(G54="",0,G54))^ROUNDDOWN((17-1)/IF(G55="",5,G55),0)))</f>
        <v/>
      </c>
      <c r="P103" s="75" t="str">
        <f aca="false">IF(O103="","",IF((IF(G63="",IF($D$35="",0,$D$35),G63))=0,0,MAX(0,3766128.39-(IF(G64&lt;&gt;"",G64,IF($D$37&lt;&gt;"",$D$37,IF((IF(G63="",IF($D$35="",0,$D$35),G63))=0,0,G53/(IF(G63="",IF($D$35="",0,$D$35),G63)))))))*(IF(G63="",IF($D$35="",0,$D$35),G63))))</f>
        <v/>
      </c>
      <c r="Q103" s="75" t="str">
        <f aca="false">IF(O103="","",O103+P103)</f>
        <v/>
      </c>
      <c r="R103" s="75" t="str">
        <f aca="false">IF(H53="","",IF(17&gt;IF(H56="",10,H56),"",H53*(1+IF(H54="",0,H54))^ROUNDDOWN((17-1)/IF(H55="",5,H55),0)))</f>
        <v/>
      </c>
      <c r="S103" s="75" t="str">
        <f aca="false">IF(R103="","",IF((IF(H63="",IF($D$35="",0,$D$35),H63))=0,0,MAX(0,3766128.39-(IF(H64&lt;&gt;"",H64,IF($D$37&lt;&gt;"",$D$37,IF((IF(H63="",IF($D$35="",0,$D$35),H63))=0,0,H53/(IF(H63="",IF($D$35="",0,$D$35),H63)))))))*(IF(H63="",IF($D$35="",0,$D$35),H63))))</f>
        <v/>
      </c>
      <c r="T103" s="75" t="str">
        <f aca="false">IF(R103="","",R103+S103)</f>
        <v/>
      </c>
    </row>
    <row r="104" customFormat="false" ht="15" hidden="false" customHeight="false" outlineLevel="0" collapsed="false">
      <c r="A104" s="74" t="n">
        <v>18</v>
      </c>
      <c r="B104" s="75" t="n">
        <v>3841451</v>
      </c>
      <c r="C104" s="76" t="n">
        <v>90680</v>
      </c>
      <c r="D104" s="76" t="n">
        <v>0</v>
      </c>
      <c r="E104" s="76" t="n">
        <v>90680</v>
      </c>
      <c r="F104" s="75" t="n">
        <f aca="false">IF(D53="","",IF(18&gt;IF(D56="",10,D56),"",D53*(1+IF(D54="",0,D54))^ROUNDDOWN((18-1)/IF(D55="",5,D55),0)))</f>
        <v>72300.10104</v>
      </c>
      <c r="G104" s="75" t="n">
        <f aca="false">IF(F104="","",IF((IF(D63="",IF($D$35="",0,$D$35),D63))=0,0,MAX(0,3841450.96-(IF(D64&lt;&gt;"",D64,IF($D$37&lt;&gt;"",$D$37,IF((IF(D63="",IF($D$35="",0,$D$35),D63))=0,0,D53/(IF(D63="",IF($D$35="",0,$D$35),D63)))))))*(IF(D63="",IF($D$35="",0,$D$35),D63))))</f>
        <v>0</v>
      </c>
      <c r="H104" s="75" t="n">
        <f aca="false">IF(F104="","",F104+G104)</f>
        <v>72300.10104</v>
      </c>
      <c r="I104" s="75" t="str">
        <f aca="false">IF(E53="","",IF(18&gt;IF(E56="",10,E56),"",E53*(1+IF(E54="",0,E54))^ROUNDDOWN((18-1)/IF(E55="",5,E55),0)))</f>
        <v/>
      </c>
      <c r="J104" s="75" t="str">
        <f aca="false">IF(I104="","",IF((IF(E63="",IF($D$35="",0,$D$35),E63))=0,0,MAX(0,3841450.96-(IF(E64&lt;&gt;"",E64,IF($D$37&lt;&gt;"",$D$37,IF((IF(E63="",IF($D$35="",0,$D$35),E63))=0,0,E53/(IF(E63="",IF($D$35="",0,$D$35),E63)))))))*(IF(E63="",IF($D$35="",0,$D$35),E63))))</f>
        <v/>
      </c>
      <c r="K104" s="75" t="str">
        <f aca="false">IF(I104="","",I104+J104)</f>
        <v/>
      </c>
      <c r="L104" s="75" t="str">
        <f aca="false">IF(F53="","",IF(18&gt;IF(F56="",10,F56),"",F53*(1+IF(F54="",0,F54))^ROUNDDOWN((18-1)/IF(F55="",5,F55),0)))</f>
        <v/>
      </c>
      <c r="M104" s="75" t="str">
        <f aca="false">IF(L104="","",IF((IF(F63="",IF($D$35="",0,$D$35),F63))=0,0,MAX(0,3841450.96-(IF(F64&lt;&gt;"",F64,IF($D$37&lt;&gt;"",$D$37,IF((IF(F63="",IF($D$35="",0,$D$35),F63))=0,0,F53/(IF(F63="",IF($D$35="",0,$D$35),F63)))))))*(IF(F63="",IF($D$35="",0,$D$35),F63))))</f>
        <v/>
      </c>
      <c r="N104" s="75" t="str">
        <f aca="false">IF(L104="","",L104+M104)</f>
        <v/>
      </c>
      <c r="O104" s="75" t="str">
        <f aca="false">IF(G53="","",IF(18&gt;IF(G56="",10,G56),"",G53*(1+IF(G54="",0,G54))^ROUNDDOWN((18-1)/IF(G55="",5,G55),0)))</f>
        <v/>
      </c>
      <c r="P104" s="75" t="str">
        <f aca="false">IF(O104="","",IF((IF(G63="",IF($D$35="",0,$D$35),G63))=0,0,MAX(0,3841450.96-(IF(G64&lt;&gt;"",G64,IF($D$37&lt;&gt;"",$D$37,IF((IF(G63="",IF($D$35="",0,$D$35),G63))=0,0,G53/(IF(G63="",IF($D$35="",0,$D$35),G63)))))))*(IF(G63="",IF($D$35="",0,$D$35),G63))))</f>
        <v/>
      </c>
      <c r="Q104" s="75" t="str">
        <f aca="false">IF(O104="","",O104+P104)</f>
        <v/>
      </c>
      <c r="R104" s="75" t="str">
        <f aca="false">IF(H53="","",IF(18&gt;IF(H56="",10,H56),"",H53*(1+IF(H54="",0,H54))^ROUNDDOWN((18-1)/IF(H55="",5,H55),0)))</f>
        <v/>
      </c>
      <c r="S104" s="75" t="str">
        <f aca="false">IF(R104="","",IF((IF(H63="",IF($D$35="",0,$D$35),H63))=0,0,MAX(0,3841450.96-(IF(H64&lt;&gt;"",H64,IF($D$37&lt;&gt;"",$D$37,IF((IF(H63="",IF($D$35="",0,$D$35),H63))=0,0,H53/(IF(H63="",IF($D$35="",0,$D$35),H63)))))))*(IF(H63="",IF($D$35="",0,$D$35),H63))))</f>
        <v/>
      </c>
      <c r="T104" s="75" t="str">
        <f aca="false">IF(R104="","",R104+S104)</f>
        <v/>
      </c>
    </row>
    <row r="105" customFormat="false" ht="15" hidden="false" customHeight="false" outlineLevel="0" collapsed="false">
      <c r="A105" s="74" t="n">
        <v>19</v>
      </c>
      <c r="B105" s="75" t="n">
        <v>3918280</v>
      </c>
      <c r="C105" s="76" t="n">
        <v>90680</v>
      </c>
      <c r="D105" s="76" t="n">
        <v>0</v>
      </c>
      <c r="E105" s="76" t="n">
        <v>90680</v>
      </c>
      <c r="F105" s="75" t="n">
        <f aca="false">IF(D53="","",IF(19&gt;IF(D56="",10,D56),"",D53*(1+IF(D54="",0,D54))^ROUNDDOWN((19-1)/IF(D55="",5,D55),0)))</f>
        <v>72300.10104</v>
      </c>
      <c r="G105" s="75" t="n">
        <f aca="false">IF(F105="","",IF((IF(D63="",IF($D$35="",0,$D$35),D63))=0,0,MAX(0,3918279.98-(IF(D64&lt;&gt;"",D64,IF($D$37&lt;&gt;"",$D$37,IF((IF(D63="",IF($D$35="",0,$D$35),D63))=0,0,D53/(IF(D63="",IF($D$35="",0,$D$35),D63)))))))*(IF(D63="",IF($D$35="",0,$D$35),D63))))</f>
        <v>0</v>
      </c>
      <c r="H105" s="75" t="n">
        <f aca="false">IF(F105="","",F105+G105)</f>
        <v>72300.10104</v>
      </c>
      <c r="I105" s="75" t="str">
        <f aca="false">IF(E53="","",IF(19&gt;IF(E56="",10,E56),"",E53*(1+IF(E54="",0,E54))^ROUNDDOWN((19-1)/IF(E55="",5,E55),0)))</f>
        <v/>
      </c>
      <c r="J105" s="75" t="str">
        <f aca="false">IF(I105="","",IF((IF(E63="",IF($D$35="",0,$D$35),E63))=0,0,MAX(0,3918279.98-(IF(E64&lt;&gt;"",E64,IF($D$37&lt;&gt;"",$D$37,IF((IF(E63="",IF($D$35="",0,$D$35),E63))=0,0,E53/(IF(E63="",IF($D$35="",0,$D$35),E63)))))))*(IF(E63="",IF($D$35="",0,$D$35),E63))))</f>
        <v/>
      </c>
      <c r="K105" s="75" t="str">
        <f aca="false">IF(I105="","",I105+J105)</f>
        <v/>
      </c>
      <c r="L105" s="75" t="str">
        <f aca="false">IF(F53="","",IF(19&gt;IF(F56="",10,F56),"",F53*(1+IF(F54="",0,F54))^ROUNDDOWN((19-1)/IF(F55="",5,F55),0)))</f>
        <v/>
      </c>
      <c r="M105" s="75" t="str">
        <f aca="false">IF(L105="","",IF((IF(F63="",IF($D$35="",0,$D$35),F63))=0,0,MAX(0,3918279.98-(IF(F64&lt;&gt;"",F64,IF($D$37&lt;&gt;"",$D$37,IF((IF(F63="",IF($D$35="",0,$D$35),F63))=0,0,F53/(IF(F63="",IF($D$35="",0,$D$35),F63)))))))*(IF(F63="",IF($D$35="",0,$D$35),F63))))</f>
        <v/>
      </c>
      <c r="N105" s="75" t="str">
        <f aca="false">IF(L105="","",L105+M105)</f>
        <v/>
      </c>
      <c r="O105" s="75" t="str">
        <f aca="false">IF(G53="","",IF(19&gt;IF(G56="",10,G56),"",G53*(1+IF(G54="",0,G54))^ROUNDDOWN((19-1)/IF(G55="",5,G55),0)))</f>
        <v/>
      </c>
      <c r="P105" s="75" t="str">
        <f aca="false">IF(O105="","",IF((IF(G63="",IF($D$35="",0,$D$35),G63))=0,0,MAX(0,3918279.98-(IF(G64&lt;&gt;"",G64,IF($D$37&lt;&gt;"",$D$37,IF((IF(G63="",IF($D$35="",0,$D$35),G63))=0,0,G53/(IF(G63="",IF($D$35="",0,$D$35),G63)))))))*(IF(G63="",IF($D$35="",0,$D$35),G63))))</f>
        <v/>
      </c>
      <c r="Q105" s="75" t="str">
        <f aca="false">IF(O105="","",O105+P105)</f>
        <v/>
      </c>
      <c r="R105" s="75" t="str">
        <f aca="false">IF(H53="","",IF(19&gt;IF(H56="",10,H56),"",H53*(1+IF(H54="",0,H54))^ROUNDDOWN((19-1)/IF(H55="",5,H55),0)))</f>
        <v/>
      </c>
      <c r="S105" s="75" t="str">
        <f aca="false">IF(R105="","",IF((IF(H63="",IF($D$35="",0,$D$35),H63))=0,0,MAX(0,3918279.98-(IF(H64&lt;&gt;"",H64,IF($D$37&lt;&gt;"",$D$37,IF((IF(H63="",IF($D$35="",0,$D$35),H63))=0,0,H53/(IF(H63="",IF($D$35="",0,$D$35),H63)))))))*(IF(H63="",IF($D$35="",0,$D$35),H63))))</f>
        <v/>
      </c>
      <c r="T105" s="75" t="str">
        <f aca="false">IF(R105="","",R105+S105)</f>
        <v/>
      </c>
    </row>
    <row r="106" customFormat="false" ht="15" hidden="false" customHeight="false" outlineLevel="0" collapsed="false">
      <c r="A106" s="74" t="n">
        <v>20</v>
      </c>
      <c r="B106" s="75" t="n">
        <v>3996646</v>
      </c>
      <c r="C106" s="76" t="n">
        <v>90680</v>
      </c>
      <c r="D106" s="76" t="n">
        <v>0</v>
      </c>
      <c r="E106" s="76" t="n">
        <v>90680</v>
      </c>
      <c r="F106" s="75" t="n">
        <f aca="false">IF(D53="","",IF(20&gt;IF(D56="",10,D56),"",D53*(1+IF(D54="",0,D54))^ROUNDDOWN((20-1)/IF(D55="",5,D55),0)))</f>
        <v>72300.10104</v>
      </c>
      <c r="G106" s="75" t="n">
        <f aca="false">IF(F106="","",IF((IF(D63="",IF($D$35="",0,$D$35),D63))=0,0,MAX(0,3996645.58-(IF(D64&lt;&gt;"",D64,IF($D$37&lt;&gt;"",$D$37,IF((IF(D63="",IF($D$35="",0,$D$35),D63))=0,0,D53/(IF(D63="",IF($D$35="",0,$D$35),D63)))))))*(IF(D63="",IF($D$35="",0,$D$35),D63))))</f>
        <v>0</v>
      </c>
      <c r="H106" s="75" t="n">
        <f aca="false">IF(F106="","",F106+G106)</f>
        <v>72300.10104</v>
      </c>
      <c r="I106" s="75" t="str">
        <f aca="false">IF(E53="","",IF(20&gt;IF(E56="",10,E56),"",E53*(1+IF(E54="",0,E54))^ROUNDDOWN((20-1)/IF(E55="",5,E55),0)))</f>
        <v/>
      </c>
      <c r="J106" s="75" t="str">
        <f aca="false">IF(I106="","",IF((IF(E63="",IF($D$35="",0,$D$35),E63))=0,0,MAX(0,3996645.58-(IF(E64&lt;&gt;"",E64,IF($D$37&lt;&gt;"",$D$37,IF((IF(E63="",IF($D$35="",0,$D$35),E63))=0,0,E53/(IF(E63="",IF($D$35="",0,$D$35),E63)))))))*(IF(E63="",IF($D$35="",0,$D$35),E63))))</f>
        <v/>
      </c>
      <c r="K106" s="75" t="str">
        <f aca="false">IF(I106="","",I106+J106)</f>
        <v/>
      </c>
      <c r="L106" s="75" t="str">
        <f aca="false">IF(F53="","",IF(20&gt;IF(F56="",10,F56),"",F53*(1+IF(F54="",0,F54))^ROUNDDOWN((20-1)/IF(F55="",5,F55),0)))</f>
        <v/>
      </c>
      <c r="M106" s="75" t="str">
        <f aca="false">IF(L106="","",IF((IF(F63="",IF($D$35="",0,$D$35),F63))=0,0,MAX(0,3996645.58-(IF(F64&lt;&gt;"",F64,IF($D$37&lt;&gt;"",$D$37,IF((IF(F63="",IF($D$35="",0,$D$35),F63))=0,0,F53/(IF(F63="",IF($D$35="",0,$D$35),F63)))))))*(IF(F63="",IF($D$35="",0,$D$35),F63))))</f>
        <v/>
      </c>
      <c r="N106" s="75" t="str">
        <f aca="false">IF(L106="","",L106+M106)</f>
        <v/>
      </c>
      <c r="O106" s="75" t="str">
        <f aca="false">IF(G53="","",IF(20&gt;IF(G56="",10,G56),"",G53*(1+IF(G54="",0,G54))^ROUNDDOWN((20-1)/IF(G55="",5,G55),0)))</f>
        <v/>
      </c>
      <c r="P106" s="75" t="str">
        <f aca="false">IF(O106="","",IF((IF(G63="",IF($D$35="",0,$D$35),G63))=0,0,MAX(0,3996645.58-(IF(G64&lt;&gt;"",G64,IF($D$37&lt;&gt;"",$D$37,IF((IF(G63="",IF($D$35="",0,$D$35),G63))=0,0,G53/(IF(G63="",IF($D$35="",0,$D$35),G63)))))))*(IF(G63="",IF($D$35="",0,$D$35),G63))))</f>
        <v/>
      </c>
      <c r="Q106" s="75" t="str">
        <f aca="false">IF(O106="","",O106+P106)</f>
        <v/>
      </c>
      <c r="R106" s="75" t="str">
        <f aca="false">IF(H53="","",IF(20&gt;IF(H56="",10,H56),"",H53*(1+IF(H54="",0,H54))^ROUNDDOWN((20-1)/IF(H55="",5,H55),0)))</f>
        <v/>
      </c>
      <c r="S106" s="75" t="str">
        <f aca="false">IF(R106="","",IF((IF(H63="",IF($D$35="",0,$D$35),H63))=0,0,MAX(0,3996645.58-(IF(H64&lt;&gt;"",H64,IF($D$37&lt;&gt;"",$D$37,IF((IF(H63="",IF($D$35="",0,$D$35),H63))=0,0,H53/(IF(H63="",IF($D$35="",0,$D$35),H63)))))))*(IF(H63="",IF($D$35="",0,$D$35),H63))))</f>
        <v/>
      </c>
      <c r="T106" s="75" t="str">
        <f aca="false">IF(R106="","",R106+S106)</f>
        <v/>
      </c>
    </row>
    <row r="107" customFormat="false" ht="15" hidden="false" customHeight="false" outlineLevel="0" collapsed="false">
      <c r="A107" s="77" t="s">
        <v>394</v>
      </c>
      <c r="C107" s="78" t="n">
        <f aca="false">IF(COUNT(C87:C106)=0,"",SUM(C87:C106))</f>
        <v>1580945</v>
      </c>
      <c r="D107" s="78" t="n">
        <f aca="false">IF(COUNT(D87:D106)=0,"",SUM(D87:D106))</f>
        <v>0</v>
      </c>
      <c r="E107" s="78" t="n">
        <f aca="false">IF(COUNT(E87:E106)=0,"",SUM(E87:E106))</f>
        <v>1580945</v>
      </c>
      <c r="F107" s="78" t="n">
        <f aca="false">IF(COUNT(F87:F106)=0,"",SUM(F87:F106))</f>
        <v>1404025.7652</v>
      </c>
      <c r="G107" s="78" t="n">
        <f aca="false">IF(COUNT(G87:G106)=0,"",SUM(G87:G106))</f>
        <v>0</v>
      </c>
      <c r="H107" s="78" t="n">
        <f aca="false">IF(COUNT(H87:H106)=0,"",SUM(H87:H106))</f>
        <v>1404025.7652</v>
      </c>
      <c r="I107" s="78" t="str">
        <f aca="false">IF(COUNT(I87:I106)=0,"",SUM(I87:I106))</f>
        <v/>
      </c>
      <c r="J107" s="78" t="str">
        <f aca="false">IF(COUNT(J87:J106)=0,"",SUM(J87:J106))</f>
        <v/>
      </c>
      <c r="K107" s="78" t="str">
        <f aca="false">IF(COUNT(K87:K106)=0,"",SUM(K87:K106))</f>
        <v/>
      </c>
      <c r="L107" s="78" t="str">
        <f aca="false">IF(COUNT(L87:L106)=0,"",SUM(L87:L106))</f>
        <v/>
      </c>
      <c r="M107" s="78" t="str">
        <f aca="false">IF(COUNT(M87:M106)=0,"",SUM(M87:M106))</f>
        <v/>
      </c>
      <c r="N107" s="78" t="str">
        <f aca="false">IF(COUNT(N87:N106)=0,"",SUM(N87:N106))</f>
        <v/>
      </c>
      <c r="O107" s="78" t="str">
        <f aca="false">IF(COUNT(O87:O106)=0,"",SUM(O87:O106))</f>
        <v/>
      </c>
      <c r="P107" s="78" t="str">
        <f aca="false">IF(COUNT(P87:P106)=0,"",SUM(P87:P106))</f>
        <v/>
      </c>
      <c r="Q107" s="78" t="str">
        <f aca="false">IF(COUNT(Q87:Q106)=0,"",SUM(Q87:Q106))</f>
        <v/>
      </c>
      <c r="R107" s="78" t="str">
        <f aca="false">IF(COUNT(R87:R106)=0,"",SUM(R87:R106))</f>
        <v/>
      </c>
      <c r="S107" s="78" t="str">
        <f aca="false">IF(COUNT(S87:S106)=0,"",SUM(S87:S106))</f>
        <v/>
      </c>
      <c r="T107" s="78" t="str">
        <f aca="false">IF(COUNT(T87:T106)=0,"",SUM(T87:T106))</f>
        <v/>
      </c>
    </row>
    <row r="108" customFormat="false" ht="15" hidden="false" customHeight="false" outlineLevel="0" collapsed="false">
      <c r="A108" s="69" t="s">
        <v>395</v>
      </c>
      <c r="B108" s="69"/>
      <c r="C108" s="69"/>
      <c r="D108" s="69"/>
      <c r="E108" s="69"/>
      <c r="F108" s="69"/>
      <c r="G108" s="69"/>
      <c r="H108" s="69"/>
      <c r="I108" s="69"/>
      <c r="J108" s="69"/>
      <c r="K108" s="69"/>
      <c r="L108" s="69"/>
      <c r="M108" s="69"/>
      <c r="N108" s="69"/>
      <c r="O108" s="69"/>
      <c r="P108" s="69"/>
      <c r="Q108" s="69"/>
      <c r="R108" s="69"/>
      <c r="S108" s="69"/>
      <c r="T108" s="69"/>
    </row>
  </sheetData>
  <mergeCells count="83">
    <mergeCell ref="A2:J2"/>
    <mergeCell ref="A3:J3"/>
    <mergeCell ref="A4:J4"/>
    <mergeCell ref="A5:J5"/>
    <mergeCell ref="A6:J6"/>
    <mergeCell ref="A7:J7"/>
    <mergeCell ref="A8:J8"/>
    <mergeCell ref="A10:C10"/>
    <mergeCell ref="D10:J10"/>
    <mergeCell ref="A11:C11"/>
    <mergeCell ref="D11:J11"/>
    <mergeCell ref="A12:C12"/>
    <mergeCell ref="D12:J12"/>
    <mergeCell ref="A13:C13"/>
    <mergeCell ref="D13:J13"/>
    <mergeCell ref="A14:C14"/>
    <mergeCell ref="D14:J14"/>
    <mergeCell ref="G17:J17"/>
    <mergeCell ref="G18:J18"/>
    <mergeCell ref="G19:J19"/>
    <mergeCell ref="G20:J20"/>
    <mergeCell ref="A21:D21"/>
    <mergeCell ref="A22:J22"/>
    <mergeCell ref="A25:C25"/>
    <mergeCell ref="A26:C26"/>
    <mergeCell ref="E26:J26"/>
    <mergeCell ref="A27:C27"/>
    <mergeCell ref="E27:J27"/>
    <mergeCell ref="A28:C28"/>
    <mergeCell ref="A29:C29"/>
    <mergeCell ref="A30:C30"/>
    <mergeCell ref="E30:J30"/>
    <mergeCell ref="A31:J31"/>
    <mergeCell ref="A32:J32"/>
    <mergeCell ref="A35:C35"/>
    <mergeCell ref="E35:J35"/>
    <mergeCell ref="A36:C36"/>
    <mergeCell ref="E36:J36"/>
    <mergeCell ref="A37:C37"/>
    <mergeCell ref="E37:J37"/>
    <mergeCell ref="A38:C38"/>
    <mergeCell ref="E38:J38"/>
    <mergeCell ref="A39:C39"/>
    <mergeCell ref="A40:C40"/>
    <mergeCell ref="A41:C41"/>
    <mergeCell ref="A42:C42"/>
    <mergeCell ref="A48:G48"/>
    <mergeCell ref="A51:C51"/>
    <mergeCell ref="A52:C52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2:C62"/>
    <mergeCell ref="A63:C63"/>
    <mergeCell ref="A64:C64"/>
    <mergeCell ref="A65:C65"/>
    <mergeCell ref="A66:C66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8:J78"/>
    <mergeCell ref="A80:J80"/>
    <mergeCell ref="A84:T84"/>
    <mergeCell ref="C85:E85"/>
    <mergeCell ref="F85:H85"/>
    <mergeCell ref="I85:K85"/>
    <mergeCell ref="L85:N85"/>
    <mergeCell ref="O85:Q85"/>
    <mergeCell ref="R85:T85"/>
    <mergeCell ref="A108:T108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2026-08-05T20:46:50Z</dcterms:created>
  <dc:creator>openpyxl</dc:creator>
  <dc:description/>
  <dc:language>en-US</dc:language>
  <cp:lastModifiedBy/>
  <dcterms:modified xsi:type="dcterms:W3CDTF">2026-08-05T20:46:54Z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